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mindelon-my.sharepoint.com/personal/fredrik_toftgard_kamicgroup_com/Documents/Skrivbordet/"/>
    </mc:Choice>
  </mc:AlternateContent>
  <xr:revisionPtr revIDLastSave="0" documentId="8_{5AD75543-50B6-44B4-87F5-98E576E9D9E3}" xr6:coauthVersionLast="47" xr6:coauthVersionMax="47" xr10:uidLastSave="{00000000-0000-0000-0000-000000000000}"/>
  <bookViews>
    <workbookView xWindow="-120" yWindow="-120" windowWidth="51840" windowHeight="21120" activeTab="1" xr2:uid="{00000000-000D-0000-FFFF-FFFF00000000}"/>
  </bookViews>
  <sheets>
    <sheet name="Start" sheetId="26" r:id="rId1"/>
    <sheet name="S230 mm²" sheetId="28" r:id="rId2"/>
    <sheet name="Batteriekapazitäten" sheetId="29" state="veryHidden" r:id="rId3"/>
    <sheet name="S230 Ipeak" sheetId="30" r:id="rId4"/>
    <sheet name="Übersetzung" sheetId="25" state="veryHidden" r:id="rId5"/>
  </sheets>
  <externalReferences>
    <externalReference r:id="rId6"/>
  </externalReferences>
  <definedNames>
    <definedName name="code">Übersetzung!$E$1</definedName>
    <definedName name="language">[1]Sprachauswahl!$D$9</definedName>
    <definedName name="Sprache">Start!$F$7</definedName>
    <definedName name="_xlnm.Print_Area" localSheetId="1">'S230 mm²'!$A$1:$K$54</definedName>
    <definedName name="übersetzen">Übersetzung!$A$1:$D$312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0" l="1"/>
  <c r="F15" i="30" s="1"/>
  <c r="I2" i="28" l="1"/>
  <c r="G44" i="28" s="1"/>
  <c r="D3" i="28"/>
  <c r="E3" i="28"/>
  <c r="E1" i="29"/>
  <c r="C2" i="28" s="1"/>
  <c r="D2" i="28" s="1"/>
  <c r="E2" i="29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D61" i="29"/>
  <c r="E61" i="29"/>
  <c r="D62" i="29"/>
  <c r="E62" i="29"/>
  <c r="D63" i="29"/>
  <c r="E63" i="29" s="1"/>
  <c r="D64" i="29"/>
  <c r="E64" i="29"/>
  <c r="D65" i="29"/>
  <c r="E65" i="29"/>
  <c r="D66" i="29"/>
  <c r="E66" i="29"/>
  <c r="D67" i="29"/>
  <c r="E67" i="29"/>
  <c r="D68" i="29"/>
  <c r="E68" i="29"/>
  <c r="D69" i="29"/>
  <c r="E69" i="29"/>
  <c r="D70" i="29"/>
  <c r="E70" i="29"/>
  <c r="D71" i="29"/>
  <c r="E71" i="29"/>
  <c r="D72" i="29"/>
  <c r="E72" i="29"/>
  <c r="D73" i="29"/>
  <c r="E73" i="29"/>
  <c r="D74" i="29"/>
  <c r="E74" i="29"/>
  <c r="D75" i="29"/>
  <c r="E75" i="29"/>
  <c r="D76" i="29"/>
  <c r="E76" i="29"/>
  <c r="D77" i="29"/>
  <c r="E77" i="29"/>
  <c r="D78" i="29"/>
  <c r="E78" i="29"/>
  <c r="D79" i="29"/>
  <c r="E79" i="29"/>
  <c r="D80" i="29"/>
  <c r="E80" i="29"/>
  <c r="D81" i="29"/>
  <c r="E81" i="29"/>
  <c r="D82" i="29"/>
  <c r="E82" i="29"/>
  <c r="D83" i="29"/>
  <c r="E83" i="29"/>
  <c r="D84" i="29"/>
  <c r="E84" i="29"/>
  <c r="D85" i="29"/>
  <c r="E85" i="29"/>
  <c r="D86" i="29"/>
  <c r="E86" i="29"/>
  <c r="D87" i="29"/>
  <c r="E87" i="29"/>
  <c r="D88" i="29"/>
  <c r="E88" i="29"/>
  <c r="D89" i="29"/>
  <c r="E89" i="29"/>
  <c r="D90" i="29"/>
  <c r="E90" i="29"/>
  <c r="D91" i="29"/>
  <c r="E91" i="29"/>
  <c r="D92" i="29"/>
  <c r="E92" i="29"/>
  <c r="D93" i="29"/>
  <c r="E93" i="29"/>
  <c r="D94" i="29"/>
  <c r="E94" i="29"/>
  <c r="D95" i="29"/>
  <c r="E95" i="29"/>
  <c r="D96" i="29"/>
  <c r="E96" i="29"/>
  <c r="D97" i="29"/>
  <c r="E97" i="29"/>
  <c r="D98" i="29"/>
  <c r="E98" i="29"/>
  <c r="D99" i="29"/>
  <c r="E99" i="29"/>
  <c r="D100" i="29"/>
  <c r="E100" i="29"/>
  <c r="I24" i="28"/>
  <c r="F3" i="28" l="1"/>
  <c r="G3" i="28" s="1"/>
  <c r="H3" i="28" s="1"/>
  <c r="I3" i="28" s="1"/>
  <c r="D19" i="28" s="1"/>
  <c r="J22" i="28"/>
  <c r="G46" i="28" s="1"/>
  <c r="E1" i="25" l="1"/>
  <c r="B18" i="30" l="1"/>
  <c r="E22" i="30"/>
  <c r="E20" i="30"/>
  <c r="B20" i="30"/>
  <c r="E23" i="30"/>
  <c r="E24" i="30"/>
  <c r="B14" i="30"/>
  <c r="B12" i="30"/>
  <c r="F14" i="30"/>
  <c r="B8" i="30"/>
  <c r="B6" i="30"/>
  <c r="D8" i="30"/>
  <c r="E51" i="26"/>
  <c r="B2" i="30"/>
  <c r="E11" i="26"/>
  <c r="B51" i="26"/>
  <c r="H31" i="26"/>
  <c r="E31" i="26"/>
  <c r="B31" i="26"/>
  <c r="K31" i="26"/>
  <c r="C50" i="28"/>
  <c r="G2" i="29"/>
  <c r="G1" i="29"/>
  <c r="D27" i="28"/>
  <c r="C15" i="28"/>
  <c r="D39" i="28"/>
  <c r="F24" i="28"/>
  <c r="F7" i="28"/>
  <c r="C19" i="28"/>
  <c r="F22" i="28"/>
  <c r="C7" i="28"/>
  <c r="D42" i="28"/>
  <c r="F19" i="28"/>
  <c r="D46" i="28"/>
  <c r="F17" i="28"/>
  <c r="D44" i="28"/>
  <c r="F15" i="28"/>
  <c r="D37" i="28"/>
  <c r="C17" i="28"/>
  <c r="C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Lehrer, Björn</author>
  </authors>
  <commentList>
    <comment ref="F1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Lehrer, Björn:</t>
        </r>
        <r>
          <rPr>
            <sz val="9"/>
            <color indexed="81"/>
            <rFont val="Tahoma"/>
            <family val="2"/>
          </rPr>
          <t xml:space="preserve">
Wenn keine Brandabschnitte überquert werden, das Feld Leer lassen.
If no fire area is crossed, leave the field empty.
Non utilizzare se non si attraversano aree antincendio.</t>
        </r>
      </text>
    </comment>
    <comment ref="D3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Lehrer, Björn:</t>
        </r>
        <r>
          <rPr>
            <sz val="9"/>
            <color indexed="81"/>
            <rFont val="Tahoma"/>
            <family val="2"/>
          </rPr>
          <t xml:space="preserve">
Wenn keine Brandabschnitte überquert werden, das Feld Leer lassen.
If no fire area is crossed, leave the field empty.
Non utilizzare se non si attraversano aree antincendio.</t>
        </r>
      </text>
    </comment>
  </commentList>
</comments>
</file>

<file path=xl/sharedStrings.xml><?xml version="1.0" encoding="utf-8"?>
<sst xmlns="http://schemas.openxmlformats.org/spreadsheetml/2006/main" count="366" uniqueCount="355">
  <si>
    <t>Sprache wählen
Select your language
Seleziona la tua lingua</t>
  </si>
  <si>
    <t>English</t>
  </si>
  <si>
    <t>Total:</t>
  </si>
  <si>
    <t>Stationstyp wählen</t>
  </si>
  <si>
    <t>12Ah - 1h</t>
  </si>
  <si>
    <t>Substation</t>
  </si>
  <si>
    <t>Sottocentrale</t>
  </si>
  <si>
    <t>12Ah - 2h</t>
  </si>
  <si>
    <t>Mainstation</t>
  </si>
  <si>
    <t>Centrale</t>
  </si>
  <si>
    <t>12Ah - 3h</t>
  </si>
  <si>
    <t>12Ah - 8h</t>
  </si>
  <si>
    <t>18Ah - 1h</t>
  </si>
  <si>
    <t>18Ah - 2h</t>
  </si>
  <si>
    <t>18Ah - 3h</t>
  </si>
  <si>
    <t>18Ah - 8h</t>
  </si>
  <si>
    <t>28Ah - 1h</t>
  </si>
  <si>
    <t>28Ah - 2h</t>
  </si>
  <si>
    <t>28Ah - 3h</t>
  </si>
  <si>
    <t>28Ah - 8h</t>
  </si>
  <si>
    <t>33Ah - 1h</t>
  </si>
  <si>
    <t>33Ah - 2h</t>
  </si>
  <si>
    <t>33Ah - 3h</t>
  </si>
  <si>
    <t>33Ah - 8h</t>
  </si>
  <si>
    <t>44Ah - 1h</t>
  </si>
  <si>
    <t>44Ah - 2h</t>
  </si>
  <si>
    <t>44Ah - 3h</t>
  </si>
  <si>
    <t>44Ah - 8h</t>
  </si>
  <si>
    <t>55Ah - 1h</t>
  </si>
  <si>
    <t>55Ah - 2h</t>
  </si>
  <si>
    <t>55Ah - 3h</t>
  </si>
  <si>
    <t>55Ah - 8h</t>
  </si>
  <si>
    <t>70Ah - 1h</t>
  </si>
  <si>
    <t>70Ah - 2h</t>
  </si>
  <si>
    <t>70Ah - 3h</t>
  </si>
  <si>
    <t>70Ah - 8h</t>
  </si>
  <si>
    <t>80Ah - 1h</t>
  </si>
  <si>
    <t>80Ah - 2h</t>
  </si>
  <si>
    <t>80Ah - 3h</t>
  </si>
  <si>
    <t>80Ah - 8h</t>
  </si>
  <si>
    <t>100Ah - 1h</t>
  </si>
  <si>
    <t>100Ah - 2h</t>
  </si>
  <si>
    <t>100Ah - 3h</t>
  </si>
  <si>
    <t>100Ah - 8h</t>
  </si>
  <si>
    <t>110Ah - 1h</t>
  </si>
  <si>
    <t>110Ah - 2h</t>
  </si>
  <si>
    <t>110Ah - 3h</t>
  </si>
  <si>
    <t>110Ah - 8h</t>
  </si>
  <si>
    <t>120Ah - 1h</t>
  </si>
  <si>
    <t>120Ah - 2h</t>
  </si>
  <si>
    <t>120Ah - 3h</t>
  </si>
  <si>
    <t>120Ah - 8h</t>
  </si>
  <si>
    <t>135Ah - 1h</t>
  </si>
  <si>
    <t>135Ah - 2h</t>
  </si>
  <si>
    <t>135Ah - 3h</t>
  </si>
  <si>
    <t>135Ah - 8h</t>
  </si>
  <si>
    <t>150Ah - 1h</t>
  </si>
  <si>
    <t>150Ah - 2h</t>
  </si>
  <si>
    <t>150Ah - 3h</t>
  </si>
  <si>
    <t>150Ah - 8h</t>
  </si>
  <si>
    <t>200Ah - 1h</t>
  </si>
  <si>
    <t>200Ah - 2h</t>
  </si>
  <si>
    <t>200Ah - 3h</t>
  </si>
  <si>
    <t>200Ah - 8h</t>
  </si>
  <si>
    <t>230Ah - 1h</t>
  </si>
  <si>
    <t>230Ah - 2h</t>
  </si>
  <si>
    <t>230Ah - 3h</t>
  </si>
  <si>
    <t>230Ah - 8h</t>
  </si>
  <si>
    <t>240Ah - 1h</t>
  </si>
  <si>
    <t>240Ah - 2h</t>
  </si>
  <si>
    <t>240Ah - 3h</t>
  </si>
  <si>
    <t>240Ah - 8h</t>
  </si>
  <si>
    <t>270Ah - 1h</t>
  </si>
  <si>
    <t>270Ah - 2h</t>
  </si>
  <si>
    <t>270Ah - 3h</t>
  </si>
  <si>
    <t>270Ah - 8h</t>
  </si>
  <si>
    <t>300Ah - 1h</t>
  </si>
  <si>
    <t>300Ah - 2h</t>
  </si>
  <si>
    <t>300Ah - 3h</t>
  </si>
  <si>
    <t>300Ah - 8h</t>
  </si>
  <si>
    <t>360Ah - 1h</t>
  </si>
  <si>
    <t>360Ah - 2h</t>
  </si>
  <si>
    <t>360Ah - 3h</t>
  </si>
  <si>
    <t>360Ah - 8h</t>
  </si>
  <si>
    <t>400Ah - 1h</t>
  </si>
  <si>
    <t>400Ah - 2h</t>
  </si>
  <si>
    <t>400Ah - 3h</t>
  </si>
  <si>
    <t>400Ah - 8h</t>
  </si>
  <si>
    <t>450Ah - 1h</t>
  </si>
  <si>
    <t>450Ah - 2h</t>
  </si>
  <si>
    <t>450Ah - 3h</t>
  </si>
  <si>
    <t>450Ah - 8h</t>
  </si>
  <si>
    <t>480Ah - 1h</t>
  </si>
  <si>
    <t>480Ah - 2h</t>
  </si>
  <si>
    <t>480Ah - 3h</t>
  </si>
  <si>
    <t>480Ah - 8h</t>
  </si>
  <si>
    <t>600Ah - 1h</t>
  </si>
  <si>
    <t>600Ah - 2h</t>
  </si>
  <si>
    <t>600Ah - 3h</t>
  </si>
  <si>
    <t>600Ah - 8h</t>
  </si>
  <si>
    <t>690Ah - 1h</t>
  </si>
  <si>
    <t>690Ah - 2h</t>
  </si>
  <si>
    <t>690Ah - 3h</t>
  </si>
  <si>
    <t>690Ah - 8h</t>
  </si>
  <si>
    <t>800Ah - 1h</t>
  </si>
  <si>
    <t>800Ah - 2h</t>
  </si>
  <si>
    <t>800Ah - 3h</t>
  </si>
  <si>
    <t>800Ah - 8h</t>
  </si>
  <si>
    <t>Joule:</t>
  </si>
  <si>
    <t>=</t>
  </si>
  <si>
    <t xml:space="preserve">AKS x 1 EÜ  / AKS 1 x SÜ </t>
  </si>
  <si>
    <t xml:space="preserve">AKS x 2 EÜ  / AKS 2 x SÜ </t>
  </si>
  <si>
    <t xml:space="preserve">AKS x 4 EÜ  / AKS 4 x SÜ </t>
  </si>
  <si>
    <t>Token</t>
  </si>
  <si>
    <t>Deutsch</t>
  </si>
  <si>
    <t>Italiano</t>
  </si>
  <si>
    <t>Spalte</t>
  </si>
  <si>
    <t>Projekt:</t>
  </si>
  <si>
    <t>Project:</t>
  </si>
  <si>
    <t>Impianto:</t>
  </si>
  <si>
    <t>Dauer</t>
  </si>
  <si>
    <t>Nennbetriebsdauer wählen (h):</t>
  </si>
  <si>
    <t>Choose operation duration (h):</t>
  </si>
  <si>
    <t>Selezionare l'autonomia (h):</t>
  </si>
  <si>
    <t>Datum</t>
  </si>
  <si>
    <t>Datum:</t>
  </si>
  <si>
    <t>Date:</t>
  </si>
  <si>
    <t>Data:</t>
  </si>
  <si>
    <t>Typ</t>
  </si>
  <si>
    <t>Typ und Anzahl der Leuchten pro Kreis wählen</t>
  </si>
  <si>
    <t>Choose type and number of luminaires for each circuit</t>
  </si>
  <si>
    <t>Selezionare apparecchio di illuminazione di emergenza per singolo circuito di uscita</t>
  </si>
  <si>
    <t>Leuchten</t>
  </si>
  <si>
    <t>luminaires</t>
  </si>
  <si>
    <t>Lampada</t>
  </si>
  <si>
    <t>EW</t>
  </si>
  <si>
    <t>EW:</t>
  </si>
  <si>
    <t>DV:</t>
  </si>
  <si>
    <t>K1</t>
  </si>
  <si>
    <t>Kreis 1:</t>
  </si>
  <si>
    <t>circuit 1:</t>
  </si>
  <si>
    <t>Uscita 1:</t>
  </si>
  <si>
    <t>K2</t>
  </si>
  <si>
    <t>Kreis 2:</t>
  </si>
  <si>
    <t>circuit 2:</t>
  </si>
  <si>
    <t>Uscita 2:</t>
  </si>
  <si>
    <t>K3</t>
  </si>
  <si>
    <t>Kreis 3:</t>
  </si>
  <si>
    <t>circuit 3:</t>
  </si>
  <si>
    <t>Uscita 3:</t>
  </si>
  <si>
    <t>K4</t>
  </si>
  <si>
    <t>Kreis 4:</t>
  </si>
  <si>
    <t>circuit 4:</t>
  </si>
  <si>
    <t>Uscita 4:</t>
  </si>
  <si>
    <t>K5</t>
  </si>
  <si>
    <t>Kreis 5:</t>
  </si>
  <si>
    <t>circuit 5:</t>
  </si>
  <si>
    <t>Uscita 5:</t>
  </si>
  <si>
    <t>K6</t>
  </si>
  <si>
    <t>Kreis 6:</t>
  </si>
  <si>
    <t>circuit 6:</t>
  </si>
  <si>
    <t>Uscita 6:</t>
  </si>
  <si>
    <t>K7</t>
  </si>
  <si>
    <t>Kreis 7:</t>
  </si>
  <si>
    <t>circuit 7:</t>
  </si>
  <si>
    <t>Uscita 7:</t>
  </si>
  <si>
    <t>K8</t>
  </si>
  <si>
    <t>Kreis 8:</t>
  </si>
  <si>
    <t>circuit 8:</t>
  </si>
  <si>
    <t>Uscita 8:</t>
  </si>
  <si>
    <t>Anzahl</t>
  </si>
  <si>
    <t>Anzahl:</t>
  </si>
  <si>
    <t>Totale:</t>
  </si>
  <si>
    <t>Übersicht</t>
  </si>
  <si>
    <t>Übersicht:</t>
  </si>
  <si>
    <t>Overview:</t>
  </si>
  <si>
    <t>Sommario:</t>
  </si>
  <si>
    <t>Leitungslänge</t>
  </si>
  <si>
    <t>Leitungslänge
 (m)</t>
  </si>
  <si>
    <t>Cable length
 (m)</t>
  </si>
  <si>
    <t>Lunghezza del cavo (m)</t>
  </si>
  <si>
    <t>LeuchtenAnz</t>
  </si>
  <si>
    <t xml:space="preserve"> Leuchten
(Anzahl)</t>
  </si>
  <si>
    <t>Luminaires
(number)</t>
  </si>
  <si>
    <t>Lampada
(Quantità)</t>
  </si>
  <si>
    <t>Leistung</t>
  </si>
  <si>
    <t>Leistung
(W)</t>
  </si>
  <si>
    <t>Power
(W)</t>
  </si>
  <si>
    <t>Carico
(W)</t>
  </si>
  <si>
    <t>mm²</t>
  </si>
  <si>
    <t>Leitungs-
querschnitt
(mm²)</t>
  </si>
  <si>
    <t>Cable
cross section
(mm²)</t>
  </si>
  <si>
    <t>Sezione
(mm²)</t>
  </si>
  <si>
    <t>Empf</t>
  </si>
  <si>
    <t>Empfohlende Anlage:</t>
  </si>
  <si>
    <t>Recommended System:</t>
  </si>
  <si>
    <t>Sistema consigliato:</t>
  </si>
  <si>
    <t>Anleitung</t>
  </si>
  <si>
    <t>Anleitung:</t>
  </si>
  <si>
    <t>Instruction:</t>
  </si>
  <si>
    <t>Istruzioni per l'uso:</t>
  </si>
  <si>
    <t>Anleitung2</t>
  </si>
  <si>
    <t>1. Betriebsdauer auswählen
2. Typ und Anzahl der Leuchten pro Kreis auswählen
3. Leitungslänge pro Kreis auswählen</t>
  </si>
  <si>
    <t>1. Choose the operation duration
2. Choose the type and number of luminaires per circuit
3. Choose the cable length per circuit</t>
  </si>
  <si>
    <t>1. Selezionare l'autonomia
2. Selezionare il numero di appaercchi per circuito di uscita
3. Selezionare lunghezza del cavo per circuito di uscita</t>
  </si>
  <si>
    <t>Leistunghoch</t>
  </si>
  <si>
    <t>Leistung zu hoch</t>
  </si>
  <si>
    <t>Too much load</t>
  </si>
  <si>
    <t>Potenza troppo alta</t>
  </si>
  <si>
    <t>Dauerfehlt</t>
  </si>
  <si>
    <t>Betriebsdauer wählen</t>
  </si>
  <si>
    <t>Choose duration</t>
  </si>
  <si>
    <t>Seleziona autonomia</t>
  </si>
  <si>
    <t>nichtmöglich</t>
  </si>
  <si>
    <t>Nicht möglich</t>
  </si>
  <si>
    <t>Not possible</t>
  </si>
  <si>
    <t>Non possibile</t>
  </si>
  <si>
    <t>nshv-lm</t>
  </si>
  <si>
    <t>Spannungsfall von der NSHV bis zur letzen Leuchte darf maximal 3% betragen!
Bei der Leitung von der NSHV zur Hauptstation wird ein maximaler Spannungsfall von 0,5% angenommen.</t>
  </si>
  <si>
    <t>The maximum line voltage drop from the distribution board to the last luminaire is 3%!
For the cable from the distribution board to the mainstation a line voltage drop of 0.5% is used.</t>
  </si>
  <si>
    <t>La caduta massima della tensione di rete dal quadro di distribuzione all'ultimo apparecchio non puó superare il 3%!
La caduta massima della tensione di rete dal quadro di distribuzione alla Centrale non puó superare 0,5%.</t>
  </si>
  <si>
    <t>nshv-hs</t>
  </si>
  <si>
    <t>Leitungsquerschnitt von NSHV zur Hauptstation</t>
  </si>
  <si>
    <t>Cable cross section from distribution board to mainstation</t>
  </si>
  <si>
    <t>Sezione cavo quadro distribuzione a Centrale</t>
  </si>
  <si>
    <t>hs-us</t>
  </si>
  <si>
    <t>Leitungsquerschnitt von Hauptstation zur Unterstation</t>
  </si>
  <si>
    <t>Cable cross section from mainstation to substation</t>
  </si>
  <si>
    <t xml:space="preserve">Sezione cavo quadro distribuzione a Centrale </t>
  </si>
  <si>
    <t>battdauer</t>
  </si>
  <si>
    <t>Batteriekapazität &amp; Betriebsdauer</t>
  </si>
  <si>
    <t>Battery capacity &amp;  operating time</t>
  </si>
  <si>
    <t>Capacitá batteria e autonomia</t>
  </si>
  <si>
    <t>Leitungslänge2</t>
  </si>
  <si>
    <t>Cable length</t>
  </si>
  <si>
    <t xml:space="preserve">Lunghezza cavo </t>
  </si>
  <si>
    <t>mm²2</t>
  </si>
  <si>
    <t>Benötigter Querschnitt</t>
  </si>
  <si>
    <t>Required cross section</t>
  </si>
  <si>
    <t>Sezione cavo richiesta</t>
  </si>
  <si>
    <t>Pus</t>
  </si>
  <si>
    <t>Gesamtleistung der Unterstation</t>
  </si>
  <si>
    <t>Total power of substation</t>
  </si>
  <si>
    <t>Potenza totale Sottocentrale</t>
  </si>
  <si>
    <t>llg</t>
  </si>
  <si>
    <t>Gesamtleitungslänge</t>
  </si>
  <si>
    <t>Total Cable length</t>
  </si>
  <si>
    <t>Lunghezza totale cavo</t>
  </si>
  <si>
    <t>llbrand</t>
  </si>
  <si>
    <t xml:space="preserve">Leitungslänge im größtem Brandabschnitt </t>
  </si>
  <si>
    <t>Cable length inside biggest fire area</t>
  </si>
  <si>
    <t>Lunghezza cavo in aree
antincendio</t>
  </si>
  <si>
    <t>dv</t>
  </si>
  <si>
    <t>Spannungsfall ΔV %</t>
  </si>
  <si>
    <t>Line voltage drop ΔV %</t>
  </si>
  <si>
    <t>Caduta di tensione ΔV %</t>
  </si>
  <si>
    <t>s-lm</t>
  </si>
  <si>
    <t>Leitungsquerschnitt von der Station bis zur letzten Leuchte</t>
  </si>
  <si>
    <t>Cable cross section from station to last luminaire</t>
  </si>
  <si>
    <t xml:space="preserve">Sezione cavo da Centrale / Sottocentrale all'ultimo apparecchio  </t>
  </si>
  <si>
    <t>Plm</t>
  </si>
  <si>
    <t>Gesamtleistung in Watt</t>
  </si>
  <si>
    <t>Total power in Watt</t>
  </si>
  <si>
    <t>Potenza totale Watt</t>
  </si>
  <si>
    <t>hs</t>
  </si>
  <si>
    <t>Hauptstation</t>
  </si>
  <si>
    <t>us</t>
  </si>
  <si>
    <t>Unterstation</t>
  </si>
  <si>
    <t>hinweis</t>
  </si>
  <si>
    <t>Zur Berechnung des Querschnittes muss immer die mögliche Leuchten-Gesamtleistung angegeben werden!</t>
  </si>
  <si>
    <t>To calculate the cable cross section, the maximum load possible of all luminaires must be used!</t>
  </si>
  <si>
    <t>Per calcolare la sezione del cavo, è necessario utilizzare il carico massimo di tutti gli apparecchi!</t>
  </si>
  <si>
    <t>konf-s24-4</t>
  </si>
  <si>
    <t>Kalkulation
Sicuro24
4 Kreise</t>
  </si>
  <si>
    <t>Calculation
Sicuro24
4 circuits</t>
  </si>
  <si>
    <t>Calcolo per
Sicuro24
4 circuiti</t>
  </si>
  <si>
    <t>konf-s24-8</t>
  </si>
  <si>
    <t>Kalkulation
Sicuro24
8 Kreise</t>
  </si>
  <si>
    <t>Calculation
Sicuro24
8 circuits</t>
  </si>
  <si>
    <t>Calcolo per
Sicuro24
8 circuiti</t>
  </si>
  <si>
    <t>konf-s24-4-ex</t>
  </si>
  <si>
    <t>Kalkulation
Sicuro24 Extreme
4 Kreise</t>
  </si>
  <si>
    <t>Calculation
Sicuro24 Extreme
4 circuits</t>
  </si>
  <si>
    <t>Calcolo per
Sicuro24 Extreme
4 circuiti</t>
  </si>
  <si>
    <t>konf-s24-8-ex</t>
  </si>
  <si>
    <t>Kalkulation
Sicuro24 Extreme
8 Kreise</t>
  </si>
  <si>
    <t>Calculation
Sicuro24 Extreme
8 circuits</t>
  </si>
  <si>
    <t>Calcolo per
Sicuro24 Extreme 
8 circuiti</t>
  </si>
  <si>
    <t>wählen</t>
  </si>
  <si>
    <t>Wählen Sie was Sie machen möchten:</t>
  </si>
  <si>
    <t>Choose what you want to do:</t>
  </si>
  <si>
    <t>Scegli cosa vuoi fare:</t>
  </si>
  <si>
    <t>S230mm²</t>
  </si>
  <si>
    <t>Leitungsquerschnitt
Sicuro230</t>
  </si>
  <si>
    <t>Cable cross section
Sicuro230</t>
  </si>
  <si>
    <t>Sezione cavo
Sicuro230</t>
  </si>
  <si>
    <t>joule</t>
  </si>
  <si>
    <t>Einschaltströme
Sicuro230</t>
  </si>
  <si>
    <t>Inrush current
Sicuro230</t>
  </si>
  <si>
    <t>info-peak</t>
  </si>
  <si>
    <t>Berechnung maximale Anzahl von Leuchten pro Ausgangskreis in Abhängigkeit vom Einschaltstrom</t>
  </si>
  <si>
    <t>Calculation of the maximum number of luminaires per output circuit depending on the inrush current</t>
  </si>
  <si>
    <t>Calcolo del numero massimo di luci per circuito di uscita in funzione del inrush current</t>
  </si>
  <si>
    <t>peak-LM</t>
  </si>
  <si>
    <t>Einschaltstrom Leuchte:</t>
  </si>
  <si>
    <t>Inrush current luminaire:</t>
  </si>
  <si>
    <t>Inrush current luci:</t>
  </si>
  <si>
    <t>strom</t>
  </si>
  <si>
    <t>Strom (A):</t>
  </si>
  <si>
    <t>Current (A):</t>
  </si>
  <si>
    <t>Corrente (A):</t>
  </si>
  <si>
    <t>zeit</t>
  </si>
  <si>
    <t>Zeit (µS):</t>
  </si>
  <si>
    <t>Time (µS):</t>
  </si>
  <si>
    <t>Tempo (µS):</t>
  </si>
  <si>
    <t>anzahl-peak</t>
  </si>
  <si>
    <t>Anzahl der Leuchten pro Kreis:</t>
  </si>
  <si>
    <t>Amount of luminaires per circuit:</t>
  </si>
  <si>
    <t>Numero di luci per circuito di uscita:</t>
  </si>
  <si>
    <t>j-kreis</t>
  </si>
  <si>
    <t>Joule pro Kreis:</t>
  </si>
  <si>
    <t>Joule per circuit:</t>
  </si>
  <si>
    <t>Joule per circuito di uscita:</t>
  </si>
  <si>
    <t>möglich</t>
  </si>
  <si>
    <t>Möglicher Anschluss an einem Kreis je nach Kartentyp:</t>
  </si>
  <si>
    <t>Possible connection on circuit depending on type of card:</t>
  </si>
  <si>
    <t>Possibile collegamento su circuito a seconda del tipo di scheda:</t>
  </si>
  <si>
    <t>ak-typ</t>
  </si>
  <si>
    <t>Kartentyp:</t>
  </si>
  <si>
    <t>Type of card:</t>
  </si>
  <si>
    <t>Tipo di scheda:</t>
  </si>
  <si>
    <t>zulässig</t>
  </si>
  <si>
    <t>Zulässige Joule pro Kreis:</t>
  </si>
  <si>
    <t>Permissible Joule per circuit:</t>
  </si>
  <si>
    <t>Massimo Joule per circuito:</t>
  </si>
  <si>
    <t>zulass-kreis1</t>
  </si>
  <si>
    <t>34,8 J pro Kreis</t>
  </si>
  <si>
    <t>34,8 J per circuit</t>
  </si>
  <si>
    <t>34,8 J per circuito</t>
  </si>
  <si>
    <t>zulass-kreis2</t>
  </si>
  <si>
    <t>17,4 J pro Kreis</t>
  </si>
  <si>
    <t>17,4 J per circuit</t>
  </si>
  <si>
    <t>17,4 J per circuito</t>
  </si>
  <si>
    <t>zulass-kreis4</t>
  </si>
  <si>
    <t>8,7 J pro Kreis</t>
  </si>
  <si>
    <t>8,7 J per circuit</t>
  </si>
  <si>
    <t>8,7 J per circuito</t>
  </si>
  <si>
    <t>ds</t>
  </si>
  <si>
    <t>DS</t>
  </si>
  <si>
    <t>DS/SA</t>
  </si>
  <si>
    <t>SA</t>
  </si>
  <si>
    <t>bs</t>
  </si>
  <si>
    <t>BS</t>
  </si>
  <si>
    <t>BS/SE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</si>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</sst>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#####\ \W"/>
    <numFmt numFmtId="166" formatCode="####\ &quot;m&quot;"/>
    <numFmt numFmtId="167" formatCode="###\ &quot;mm²&quot;"/>
    <numFmt numFmtId="168" formatCode="###.##\ &quot;mm²&quot;"/>
    <numFmt numFmtId="169" formatCode="##.##&quot;%&quot;"/>
    <numFmt numFmtId="170" formatCode="#,##0.0&quot; A&quot;"/>
    <numFmt numFmtId="171" formatCode="#,##0&quot; µS&quot;"/>
    <numFmt numFmtId="172" formatCode="#,##0.00&quot; J&quot;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64">
    <xf numFmtId="0" fontId="0" fillId="0" borderId="0" xfId="0"/>
    <xf numFmtId="0" fontId="0" fillId="0" borderId="12" xfId="0" applyBorder="1"/>
    <xf numFmtId="0" fontId="0" fillId="0" borderId="5" xfId="0" applyBorder="1"/>
    <xf numFmtId="0" fontId="6" fillId="3" borderId="6" xfId="0" applyFont="1" applyFill="1" applyBorder="1"/>
    <xf numFmtId="0" fontId="4" fillId="3" borderId="0" xfId="0" applyFont="1" applyFill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5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6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/>
    </xf>
    <xf numFmtId="167" fontId="1" fillId="4" borderId="24" xfId="0" applyNumberFormat="1" applyFont="1" applyFill="1" applyBorder="1" applyAlignment="1">
      <alignment horizontal="center"/>
    </xf>
    <xf numFmtId="0" fontId="1" fillId="0" borderId="23" xfId="0" applyFont="1" applyBorder="1"/>
    <xf numFmtId="168" fontId="0" fillId="0" borderId="24" xfId="0" applyNumberFormat="1" applyBorder="1"/>
    <xf numFmtId="0" fontId="0" fillId="0" borderId="23" xfId="0" applyBorder="1"/>
    <xf numFmtId="0" fontId="1" fillId="0" borderId="24" xfId="0" applyFont="1" applyBorder="1" applyAlignment="1">
      <alignment horizontal="center"/>
    </xf>
    <xf numFmtId="10" fontId="1" fillId="2" borderId="24" xfId="0" applyNumberFormat="1" applyFont="1" applyFill="1" applyBorder="1" applyAlignment="1">
      <alignment horizontal="center"/>
    </xf>
    <xf numFmtId="0" fontId="1" fillId="0" borderId="15" xfId="0" applyFont="1" applyBorder="1"/>
    <xf numFmtId="168" fontId="0" fillId="0" borderId="16" xfId="0" applyNumberFormat="1" applyBorder="1"/>
    <xf numFmtId="168" fontId="1" fillId="4" borderId="16" xfId="0" applyNumberFormat="1" applyFont="1" applyFill="1" applyBorder="1" applyAlignment="1">
      <alignment horizontal="center"/>
    </xf>
    <xf numFmtId="0" fontId="1" fillId="0" borderId="0" xfId="0" applyFont="1"/>
    <xf numFmtId="168" fontId="0" fillId="0" borderId="0" xfId="0" applyNumberFormat="1"/>
    <xf numFmtId="168" fontId="0" fillId="0" borderId="23" xfId="0" applyNumberFormat="1" applyBorder="1"/>
    <xf numFmtId="0" fontId="0" fillId="0" borderId="24" xfId="0" applyBorder="1"/>
    <xf numFmtId="166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/>
    </xf>
    <xf numFmtId="165" fontId="1" fillId="2" borderId="24" xfId="0" applyNumberFormat="1" applyFont="1" applyFill="1" applyBorder="1" applyAlignment="1" applyProtection="1">
      <alignment horizontal="center" vertical="center"/>
      <protection locked="0"/>
    </xf>
    <xf numFmtId="169" fontId="1" fillId="2" borderId="24" xfId="0" applyNumberFormat="1" applyFont="1" applyFill="1" applyBorder="1" applyAlignment="1">
      <alignment horizontal="center" vertical="center"/>
    </xf>
    <xf numFmtId="168" fontId="1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16" xfId="0" applyBorder="1"/>
    <xf numFmtId="0" fontId="10" fillId="0" borderId="25" xfId="1" applyBorder="1" applyAlignment="1" applyProtection="1"/>
    <xf numFmtId="164" fontId="11" fillId="0" borderId="24" xfId="0" applyNumberFormat="1" applyFont="1" applyBorder="1"/>
    <xf numFmtId="0" fontId="11" fillId="0" borderId="24" xfId="0" applyFont="1" applyBorder="1"/>
    <xf numFmtId="0" fontId="3" fillId="0" borderId="0" xfId="0" applyFont="1"/>
    <xf numFmtId="0" fontId="0" fillId="0" borderId="24" xfId="0" applyBorder="1" applyAlignment="1">
      <alignment vertical="center" wrapText="1"/>
    </xf>
    <xf numFmtId="0" fontId="3" fillId="0" borderId="23" xfId="0" applyFont="1" applyBorder="1"/>
    <xf numFmtId="2" fontId="11" fillId="0" borderId="0" xfId="0" applyNumberFormat="1" applyFont="1"/>
    <xf numFmtId="0" fontId="11" fillId="0" borderId="0" xfId="0" applyFont="1"/>
    <xf numFmtId="0" fontId="11" fillId="0" borderId="0" xfId="0" applyFont="1" applyProtection="1">
      <protection locked="0" hidden="1"/>
    </xf>
    <xf numFmtId="0" fontId="0" fillId="0" borderId="14" xfId="0" applyBorder="1"/>
    <xf numFmtId="0" fontId="0" fillId="0" borderId="20" xfId="0" applyBorder="1"/>
    <xf numFmtId="0" fontId="0" fillId="0" borderId="13" xfId="0" applyBorder="1"/>
    <xf numFmtId="0" fontId="0" fillId="0" borderId="0" xfId="0" applyAlignment="1">
      <alignment wrapText="1"/>
    </xf>
    <xf numFmtId="0" fontId="2" fillId="0" borderId="0" xfId="3"/>
    <xf numFmtId="2" fontId="2" fillId="0" borderId="0" xfId="3" applyNumberFormat="1" applyAlignment="1">
      <alignment horizontal="center"/>
    </xf>
    <xf numFmtId="0" fontId="2" fillId="0" borderId="0" xfId="3" applyAlignment="1">
      <alignment horizontal="center"/>
    </xf>
    <xf numFmtId="0" fontId="2" fillId="0" borderId="0" xfId="3" applyAlignment="1">
      <alignment horizontal="left"/>
    </xf>
    <xf numFmtId="10" fontId="2" fillId="0" borderId="0" xfId="3" applyNumberFormat="1"/>
    <xf numFmtId="0" fontId="3" fillId="0" borderId="0" xfId="0" applyFont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1" fillId="0" borderId="0" xfId="0" applyFont="1" applyAlignment="1">
      <alignment horizontal="center" vertical="center"/>
    </xf>
    <xf numFmtId="0" fontId="11" fillId="0" borderId="0" xfId="0" applyFont="1" applyProtection="1">
      <protection hidden="1"/>
    </xf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0" fontId="0" fillId="2" borderId="4" xfId="0" applyNumberFormat="1" applyFill="1" applyBorder="1" applyAlignment="1" applyProtection="1">
      <alignment horizontal="center" vertical="center"/>
      <protection locked="0"/>
    </xf>
    <xf numFmtId="171" fontId="0" fillId="2" borderId="0" xfId="0" applyNumberFormat="1" applyFill="1" applyAlignment="1" applyProtection="1">
      <alignment horizontal="center" vertical="center"/>
      <protection locked="0"/>
    </xf>
    <xf numFmtId="172" fontId="1" fillId="5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72" fontId="1" fillId="5" borderId="0" xfId="0" applyNumberFormat="1" applyFont="1" applyFill="1" applyAlignment="1">
      <alignment horizontal="center" vertical="center"/>
    </xf>
    <xf numFmtId="0" fontId="0" fillId="0" borderId="11" xfId="0" applyBorder="1"/>
    <xf numFmtId="10" fontId="2" fillId="0" borderId="0" xfId="3" applyNumberFormat="1" applyProtection="1">
      <protection locked="0"/>
    </xf>
    <xf numFmtId="0" fontId="2" fillId="0" borderId="0" xfId="3" applyProtection="1">
      <protection locked="0"/>
    </xf>
    <xf numFmtId="0" fontId="11" fillId="0" borderId="20" xfId="0" applyFont="1" applyBorder="1" applyProtection="1">
      <protection locked="0" hidden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6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8" fontId="1" fillId="0" borderId="23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168" fontId="1" fillId="0" borderId="15" xfId="0" applyNumberFormat="1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8" fontId="1" fillId="0" borderId="13" xfId="0" applyNumberFormat="1" applyFont="1" applyBorder="1" applyAlignment="1">
      <alignment horizontal="center" vertical="center" wrapText="1"/>
    </xf>
    <xf numFmtId="168" fontId="1" fillId="0" borderId="20" xfId="0" applyNumberFormat="1" applyFont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168" fontId="1" fillId="0" borderId="21" xfId="0" applyNumberFormat="1" applyFont="1" applyBorder="1" applyAlignment="1">
      <alignment horizontal="center" vertical="center" wrapText="1"/>
    </xf>
    <xf numFmtId="168" fontId="1" fillId="0" borderId="11" xfId="0" applyNumberFormat="1" applyFont="1" applyBorder="1" applyAlignment="1">
      <alignment horizontal="center" vertical="center" wrapText="1"/>
    </xf>
    <xf numFmtId="168" fontId="1" fillId="0" borderId="22" xfId="0" applyNumberFormat="1" applyFont="1" applyBorder="1" applyAlignment="1">
      <alignment horizontal="center" vertical="center" wrapText="1"/>
    </xf>
    <xf numFmtId="168" fontId="1" fillId="0" borderId="23" xfId="0" applyNumberFormat="1" applyFont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">
    <cellStyle name="Hyperlänk" xfId="1" builtinId="8"/>
    <cellStyle name="Normal" xfId="0" builtinId="0"/>
    <cellStyle name="Prozent 2" xfId="2" xr:uid="{00000000-0005-0000-0000-000001000000}"/>
    <cellStyle name="Standard 2" xfId="3" xr:uid="{00000000-0005-0000-0000-000003000000}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6D2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5" dropStyle="combo" dx="16" fmlaLink="$C$3" fmlaRange="Batteriekapazitäten!$B$1:$B$100" noThreeD="1" sel="1" val="0"/>
</file>

<file path=xl/ctrlProps/ctrlProp2.xml><?xml version="1.0" encoding="utf-8"?>
<formControlPr xmlns="http://schemas.microsoft.com/office/spreadsheetml/2009/9/main" objectType="Drop" dropLines="2" dropStyle="combo" dx="16" fmlaLink="$I$1" fmlaRange="Batteriekapazitäten!$G$1:$G$2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3" Type="http://schemas.openxmlformats.org/officeDocument/2006/relationships/hyperlink" Target="#'S24-4'!A1"/><Relationship Id="rId7" Type="http://schemas.openxmlformats.org/officeDocument/2006/relationships/hyperlink" Target="#'S24-Extr.-4'!A1"/><Relationship Id="rId12" Type="http://schemas.openxmlformats.org/officeDocument/2006/relationships/hyperlink" Target="#'S230 mm&#178;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openxmlformats.org/officeDocument/2006/relationships/hyperlink" Target="#'S24-8'!A1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#'S24-Extr.-8'!A1"/><Relationship Id="rId14" Type="http://schemas.openxmlformats.org/officeDocument/2006/relationships/hyperlink" Target="#'S230 Ipeak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png"/><Relationship Id="rId1" Type="http://schemas.openxmlformats.org/officeDocument/2006/relationships/image" Target="../media/image10.jpeg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14</xdr:row>
      <xdr:rowOff>80442</xdr:rowOff>
    </xdr:from>
    <xdr:to>
      <xdr:col>8</xdr:col>
      <xdr:colOff>371474</xdr:colOff>
      <xdr:row>17</xdr:row>
      <xdr:rowOff>116312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2356917"/>
          <a:ext cx="2362199" cy="521645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304801</xdr:colOff>
      <xdr:row>34</xdr:row>
      <xdr:rowOff>80928</xdr:rowOff>
    </xdr:from>
    <xdr:to>
      <xdr:col>8</xdr:col>
      <xdr:colOff>361950</xdr:colOff>
      <xdr:row>37</xdr:row>
      <xdr:rowOff>118648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5595903"/>
          <a:ext cx="2362199" cy="52349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19</xdr:row>
      <xdr:rowOff>123825</xdr:rowOff>
    </xdr:from>
    <xdr:to>
      <xdr:col>2</xdr:col>
      <xdr:colOff>555106</xdr:colOff>
      <xdr:row>29</xdr:row>
      <xdr:rowOff>0</xdr:rowOff>
    </xdr:to>
    <xdr:pic>
      <xdr:nvPicPr>
        <xdr:cNvPr id="4" name="Grafik 3">
          <a:hlinkClick xmlns:r="http://schemas.openxmlformats.org/officeDocument/2006/relationships" r:id="rId3" tooltip="Sicuro24-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562225"/>
          <a:ext cx="1107556" cy="1495425"/>
        </a:xfrm>
        <a:prstGeom prst="rect">
          <a:avLst/>
        </a:prstGeom>
      </xdr:spPr>
    </xdr:pic>
    <xdr:clientData/>
  </xdr:twoCellAnchor>
  <xdr:twoCellAnchor editAs="oneCell">
    <xdr:from>
      <xdr:col>4</xdr:col>
      <xdr:colOff>304799</xdr:colOff>
      <xdr:row>19</xdr:row>
      <xdr:rowOff>116553</xdr:rowOff>
    </xdr:from>
    <xdr:to>
      <xdr:col>5</xdr:col>
      <xdr:colOff>371474</xdr:colOff>
      <xdr:row>29</xdr:row>
      <xdr:rowOff>1</xdr:rowOff>
    </xdr:to>
    <xdr:pic>
      <xdr:nvPicPr>
        <xdr:cNvPr id="5" name="Grafik 4">
          <a:hlinkClick xmlns:r="http://schemas.openxmlformats.org/officeDocument/2006/relationships" r:id="rId5" tooltip="Sicuro24-8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2554953"/>
          <a:ext cx="752475" cy="1502698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123825</xdr:rowOff>
    </xdr:from>
    <xdr:to>
      <xdr:col>8</xdr:col>
      <xdr:colOff>373111</xdr:colOff>
      <xdr:row>29</xdr:row>
      <xdr:rowOff>5775</xdr:rowOff>
    </xdr:to>
    <xdr:pic>
      <xdr:nvPicPr>
        <xdr:cNvPr id="6" name="Grafik 5">
          <a:hlinkClick xmlns:r="http://schemas.openxmlformats.org/officeDocument/2006/relationships" r:id="rId7" tooltip="Sicuro24-Extreme-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2562225"/>
          <a:ext cx="744586" cy="1501200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314325</xdr:colOff>
      <xdr:row>19</xdr:row>
      <xdr:rowOff>123825</xdr:rowOff>
    </xdr:from>
    <xdr:to>
      <xdr:col>11</xdr:col>
      <xdr:colOff>373111</xdr:colOff>
      <xdr:row>29</xdr:row>
      <xdr:rowOff>5775</xdr:rowOff>
    </xdr:to>
    <xdr:pic>
      <xdr:nvPicPr>
        <xdr:cNvPr id="7" name="Grafik 6">
          <a:hlinkClick xmlns:r="http://schemas.openxmlformats.org/officeDocument/2006/relationships" r:id="rId9" tooltip="Sicuro24-Extreme-8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2562225"/>
          <a:ext cx="744586" cy="15012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9525</xdr:rowOff>
    </xdr:from>
    <xdr:to>
      <xdr:col>2</xdr:col>
      <xdr:colOff>676275</xdr:colOff>
      <xdr:row>32</xdr:row>
      <xdr:rowOff>152400</xdr:rowOff>
    </xdr:to>
    <xdr:sp macro="" textlink="">
      <xdr:nvSpPr>
        <xdr:cNvPr id="8" name="Rechteck 7">
          <a:hlinkClick xmlns:r="http://schemas.openxmlformats.org/officeDocument/2006/relationships" r:id="rId3" tooltip="Sicuro24-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66700" y="4876800"/>
          <a:ext cx="1343025" cy="4667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19050</xdr:colOff>
      <xdr:row>30</xdr:row>
      <xdr:rowOff>19050</xdr:rowOff>
    </xdr:from>
    <xdr:to>
      <xdr:col>5</xdr:col>
      <xdr:colOff>676275</xdr:colOff>
      <xdr:row>33</xdr:row>
      <xdr:rowOff>0</xdr:rowOff>
    </xdr:to>
    <xdr:sp macro="" textlink="">
      <xdr:nvSpPr>
        <xdr:cNvPr id="9" name="Rechteck 8">
          <a:hlinkClick xmlns:r="http://schemas.openxmlformats.org/officeDocument/2006/relationships" r:id="rId5" tooltip="Sicuro24-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885950" y="4886325"/>
          <a:ext cx="1343025" cy="4667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3089</xdr:colOff>
      <xdr:row>2</xdr:row>
      <xdr:rowOff>66674</xdr:rowOff>
    </xdr:from>
    <xdr:to>
      <xdr:col>3</xdr:col>
      <xdr:colOff>142874</xdr:colOff>
      <xdr:row>7</xdr:row>
      <xdr:rowOff>135163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739" y="390524"/>
          <a:ext cx="1511385" cy="887639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104773</xdr:colOff>
      <xdr:row>3</xdr:row>
      <xdr:rowOff>57148</xdr:rowOff>
    </xdr:from>
    <xdr:to>
      <xdr:col>11</xdr:col>
      <xdr:colOff>683323</xdr:colOff>
      <xdr:row>6</xdr:row>
      <xdr:rowOff>85433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3" y="542923"/>
          <a:ext cx="1512000" cy="51406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200026</xdr:colOff>
      <xdr:row>39</xdr:row>
      <xdr:rowOff>114300</xdr:rowOff>
    </xdr:from>
    <xdr:to>
      <xdr:col>2</xdr:col>
      <xdr:colOff>598960</xdr:colOff>
      <xdr:row>48</xdr:row>
      <xdr:rowOff>158175</xdr:rowOff>
    </xdr:to>
    <xdr:pic>
      <xdr:nvPicPr>
        <xdr:cNvPr id="12" name="Grafik 11">
          <a:hlinkClick xmlns:r="http://schemas.openxmlformats.org/officeDocument/2006/relationships" r:id="rId12" tooltip="Sicuro230 mm²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6438900"/>
          <a:ext cx="1084734" cy="15012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49</xdr:row>
      <xdr:rowOff>152400</xdr:rowOff>
    </xdr:from>
    <xdr:to>
      <xdr:col>2</xdr:col>
      <xdr:colOff>676275</xdr:colOff>
      <xdr:row>52</xdr:row>
      <xdr:rowOff>152400</xdr:rowOff>
    </xdr:to>
    <xdr:sp macro="" textlink="">
      <xdr:nvSpPr>
        <xdr:cNvPr id="13" name="Rechteck 12">
          <a:hlinkClick xmlns:r="http://schemas.openxmlformats.org/officeDocument/2006/relationships" r:id="rId12" tooltip="Sicuro230 mm²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38125" y="8096250"/>
          <a:ext cx="1371600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>
            <a:ln>
              <a:noFill/>
            </a:ln>
            <a:noFill/>
          </a:endParaRPr>
        </a:p>
      </xdr:txBody>
    </xdr:sp>
    <xdr:clientData/>
  </xdr:twoCellAnchor>
  <xdr:twoCellAnchor editAs="oneCell">
    <xdr:from>
      <xdr:col>4</xdr:col>
      <xdr:colOff>200025</xdr:colOff>
      <xdr:row>39</xdr:row>
      <xdr:rowOff>123825</xdr:rowOff>
    </xdr:from>
    <xdr:to>
      <xdr:col>5</xdr:col>
      <xdr:colOff>564792</xdr:colOff>
      <xdr:row>49</xdr:row>
      <xdr:rowOff>5775</xdr:rowOff>
    </xdr:to>
    <xdr:pic>
      <xdr:nvPicPr>
        <xdr:cNvPr id="14" name="Grafik 13">
          <a:hlinkClick xmlns:r="http://schemas.openxmlformats.org/officeDocument/2006/relationships" r:id="rId14" tooltip="Sicuro230 Inrush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6448425"/>
          <a:ext cx="1050567" cy="15012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50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15" name="Rechteck 14">
          <a:hlinkClick xmlns:r="http://schemas.openxmlformats.org/officeDocument/2006/relationships" r:id="rId14" tooltip="Sicuro230 Inrush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866900" y="8105775"/>
          <a:ext cx="1371600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>
            <a:ln>
              <a:noFill/>
            </a:ln>
            <a:noFill/>
          </a:endParaRPr>
        </a:p>
      </xdr:txBody>
    </xdr:sp>
    <xdr:clientData/>
  </xdr:twoCellAnchor>
  <xdr:twoCellAnchor>
    <xdr:from>
      <xdr:col>7</xdr:col>
      <xdr:colOff>19050</xdr:colOff>
      <xdr:row>30</xdr:row>
      <xdr:rowOff>19050</xdr:rowOff>
    </xdr:from>
    <xdr:to>
      <xdr:col>8</xdr:col>
      <xdr:colOff>676275</xdr:colOff>
      <xdr:row>33</xdr:row>
      <xdr:rowOff>0</xdr:rowOff>
    </xdr:to>
    <xdr:sp macro="" textlink="">
      <xdr:nvSpPr>
        <xdr:cNvPr id="16" name="Rechteck 15">
          <a:hlinkClick xmlns:r="http://schemas.openxmlformats.org/officeDocument/2006/relationships" r:id="rId7" tooltip="Sicuro24-Extreme-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3505200" y="4886325"/>
          <a:ext cx="1343025" cy="4667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19050</xdr:colOff>
      <xdr:row>30</xdr:row>
      <xdr:rowOff>19050</xdr:rowOff>
    </xdr:from>
    <xdr:to>
      <xdr:col>11</xdr:col>
      <xdr:colOff>676275</xdr:colOff>
      <xdr:row>33</xdr:row>
      <xdr:rowOff>0</xdr:rowOff>
    </xdr:to>
    <xdr:sp macro="" textlink="">
      <xdr:nvSpPr>
        <xdr:cNvPr id="17" name="Rechteck 16">
          <a:hlinkClick xmlns:r="http://schemas.openxmlformats.org/officeDocument/2006/relationships" r:id="rId9" tooltip="Sicuro24-Extreme-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124450" y="4886325"/>
          <a:ext cx="1343025" cy="4667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76200</xdr:rowOff>
        </xdr:from>
        <xdr:to>
          <xdr:col>3</xdr:col>
          <xdr:colOff>742950</xdr:colOff>
          <xdr:row>14</xdr:row>
          <xdr:rowOff>285750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34</xdr:row>
          <xdr:rowOff>19050</xdr:rowOff>
        </xdr:from>
        <xdr:to>
          <xdr:col>6</xdr:col>
          <xdr:colOff>742950</xdr:colOff>
          <xdr:row>34</xdr:row>
          <xdr:rowOff>180975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95250</xdr:colOff>
      <xdr:row>9</xdr:row>
      <xdr:rowOff>57150</xdr:rowOff>
    </xdr:from>
    <xdr:ext cx="695325" cy="772397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1838325"/>
          <a:ext cx="695325" cy="772397"/>
        </a:xfrm>
        <a:prstGeom prst="rect">
          <a:avLst/>
        </a:prstGeom>
      </xdr:spPr>
    </xdr:pic>
    <xdr:clientData/>
  </xdr:oneCellAnchor>
  <xdr:twoCellAnchor>
    <xdr:from>
      <xdr:col>2</xdr:col>
      <xdr:colOff>800100</xdr:colOff>
      <xdr:row>11</xdr:row>
      <xdr:rowOff>114300</xdr:rowOff>
    </xdr:from>
    <xdr:to>
      <xdr:col>3</xdr:col>
      <xdr:colOff>285750</xdr:colOff>
      <xdr:row>11</xdr:row>
      <xdr:rowOff>114300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286000" y="2219325"/>
          <a:ext cx="285750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11</xdr:row>
      <xdr:rowOff>123825</xdr:rowOff>
    </xdr:from>
    <xdr:to>
      <xdr:col>8</xdr:col>
      <xdr:colOff>104775</xdr:colOff>
      <xdr:row>11</xdr:row>
      <xdr:rowOff>123825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343400" y="2228850"/>
          <a:ext cx="1857375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28574</xdr:colOff>
      <xdr:row>29</xdr:row>
      <xdr:rowOff>114299</xdr:rowOff>
    </xdr:from>
    <xdr:ext cx="723901" cy="723901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4" y="5133974"/>
          <a:ext cx="723901" cy="723901"/>
        </a:xfrm>
        <a:prstGeom prst="rect">
          <a:avLst/>
        </a:prstGeom>
      </xdr:spPr>
    </xdr:pic>
    <xdr:clientData/>
  </xdr:oneCellAnchor>
  <xdr:twoCellAnchor>
    <xdr:from>
      <xdr:col>3</xdr:col>
      <xdr:colOff>457199</xdr:colOff>
      <xdr:row>31</xdr:row>
      <xdr:rowOff>85725</xdr:rowOff>
    </xdr:from>
    <xdr:to>
      <xdr:col>6</xdr:col>
      <xdr:colOff>66674</xdr:colOff>
      <xdr:row>31</xdr:row>
      <xdr:rowOff>85725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2743199" y="5429250"/>
          <a:ext cx="1895475" cy="0"/>
        </a:xfrm>
        <a:prstGeom prst="lin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307750</xdr:colOff>
      <xdr:row>8</xdr:row>
      <xdr:rowOff>121920</xdr:rowOff>
    </xdr:from>
    <xdr:ext cx="443722" cy="1051560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3750" y="1741170"/>
          <a:ext cx="443722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56290</xdr:colOff>
      <xdr:row>8</xdr:row>
      <xdr:rowOff>129540</xdr:rowOff>
    </xdr:from>
    <xdr:ext cx="443722" cy="1051560"/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290" y="1748790"/>
          <a:ext cx="443722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39758</xdr:colOff>
      <xdr:row>28</xdr:row>
      <xdr:rowOff>172277</xdr:rowOff>
    </xdr:from>
    <xdr:ext cx="412721" cy="963495"/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5758" y="5020502"/>
          <a:ext cx="412721" cy="963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139146</xdr:colOff>
      <xdr:row>9</xdr:row>
      <xdr:rowOff>165652</xdr:rowOff>
    </xdr:from>
    <xdr:ext cx="602073" cy="664929"/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146" y="1946827"/>
          <a:ext cx="602073" cy="6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hrer\Desktop\Beispiel-ohne-Mak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@Translate"/>
      <sheetName val="Sprachauswahl"/>
      <sheetName val="test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L53"/>
  <sheetViews>
    <sheetView showGridLines="0" showRowColHeaders="0" topLeftCell="A6" workbookViewId="0">
      <selection activeCell="F7" sqref="F7:H8"/>
    </sheetView>
  </sheetViews>
  <sheetFormatPr defaultColWidth="11.42578125" defaultRowHeight="12.75" x14ac:dyDescent="0.2"/>
  <cols>
    <col min="1" max="1" width="3.7109375" customWidth="1"/>
    <col min="2" max="3" width="10.28515625" customWidth="1"/>
    <col min="4" max="4" width="3.7109375" customWidth="1"/>
    <col min="5" max="6" width="10.28515625" customWidth="1"/>
    <col min="7" max="7" width="3.7109375" customWidth="1"/>
    <col min="8" max="9" width="10.28515625" customWidth="1"/>
    <col min="10" max="10" width="3.7109375" customWidth="1"/>
    <col min="11" max="12" width="10.28515625" customWidth="1"/>
  </cols>
  <sheetData>
    <row r="2" spans="2:11" x14ac:dyDescent="0.2">
      <c r="B2" s="29"/>
      <c r="E2" s="61"/>
      <c r="F2" s="62"/>
      <c r="G2" s="62"/>
      <c r="H2" s="62"/>
      <c r="I2" s="63"/>
    </row>
    <row r="3" spans="2:11" ht="12.75" customHeight="1" x14ac:dyDescent="0.2">
      <c r="B3" s="29"/>
      <c r="E3" s="92" t="s">
        <v>0</v>
      </c>
      <c r="F3" s="96"/>
      <c r="G3" s="96"/>
      <c r="H3" s="96"/>
      <c r="I3" s="93"/>
      <c r="K3" s="29"/>
    </row>
    <row r="4" spans="2:11" x14ac:dyDescent="0.2">
      <c r="B4" s="29"/>
      <c r="E4" s="92"/>
      <c r="F4" s="96"/>
      <c r="G4" s="96"/>
      <c r="H4" s="96"/>
      <c r="I4" s="93"/>
      <c r="K4" s="29"/>
    </row>
    <row r="5" spans="2:11" x14ac:dyDescent="0.2">
      <c r="E5" s="92"/>
      <c r="F5" s="96"/>
      <c r="G5" s="96"/>
      <c r="H5" s="96"/>
      <c r="I5" s="93"/>
      <c r="K5" s="29"/>
    </row>
    <row r="6" spans="2:11" ht="12.75" customHeight="1" x14ac:dyDescent="0.2">
      <c r="B6" s="60"/>
      <c r="C6" s="60"/>
      <c r="E6" s="64"/>
      <c r="F6" s="10"/>
      <c r="G6" s="10"/>
      <c r="H6" s="10"/>
      <c r="I6" s="65"/>
    </row>
    <row r="7" spans="2:11" ht="13.5" customHeight="1" x14ac:dyDescent="0.2">
      <c r="B7" s="60"/>
      <c r="C7" s="60"/>
      <c r="E7" s="64"/>
      <c r="F7" s="97" t="s">
        <v>1</v>
      </c>
      <c r="G7" s="98"/>
      <c r="H7" s="99"/>
      <c r="I7" s="65"/>
    </row>
    <row r="8" spans="2:11" ht="12.75" customHeight="1" x14ac:dyDescent="0.2">
      <c r="E8" s="64"/>
      <c r="F8" s="100"/>
      <c r="G8" s="101"/>
      <c r="H8" s="102"/>
      <c r="I8" s="65"/>
    </row>
    <row r="9" spans="2:11" x14ac:dyDescent="0.2">
      <c r="E9" s="66"/>
      <c r="F9" s="67"/>
      <c r="G9" s="67"/>
      <c r="H9" s="67"/>
      <c r="I9" s="68"/>
    </row>
    <row r="11" spans="2:11" x14ac:dyDescent="0.2">
      <c r="E11" s="90" t="str">
        <f>VLOOKUP("wählen",übersetzen,code,FALSE)</f>
        <v>Choose what you want to do:</v>
      </c>
      <c r="F11" s="103"/>
      <c r="G11" s="103"/>
      <c r="H11" s="103"/>
      <c r="I11" s="91"/>
    </row>
    <row r="12" spans="2:11" x14ac:dyDescent="0.2">
      <c r="E12" s="92"/>
      <c r="F12" s="96"/>
      <c r="G12" s="96"/>
      <c r="H12" s="96"/>
      <c r="I12" s="93"/>
    </row>
    <row r="13" spans="2:11" x14ac:dyDescent="0.2">
      <c r="E13" s="94"/>
      <c r="F13" s="104"/>
      <c r="G13" s="104"/>
      <c r="H13" s="104"/>
      <c r="I13" s="95"/>
    </row>
    <row r="14" spans="2:11" x14ac:dyDescent="0.2">
      <c r="E14" s="11"/>
      <c r="F14" s="11"/>
      <c r="G14" s="11"/>
      <c r="H14" s="11"/>
      <c r="I14" s="11"/>
    </row>
    <row r="15" spans="2:11" x14ac:dyDescent="0.2">
      <c r="E15" s="11"/>
      <c r="F15" s="11"/>
      <c r="G15" s="11"/>
      <c r="H15" s="11"/>
      <c r="I15" s="11"/>
    </row>
    <row r="16" spans="2:11" x14ac:dyDescent="0.2">
      <c r="E16" s="11"/>
      <c r="F16" s="11"/>
      <c r="G16" s="11"/>
      <c r="H16" s="11"/>
      <c r="I16" s="11"/>
    </row>
    <row r="17" spans="2:12" x14ac:dyDescent="0.2">
      <c r="E17" s="11"/>
      <c r="F17" s="11"/>
      <c r="G17" s="11"/>
      <c r="H17" s="11"/>
      <c r="I17" s="11"/>
    </row>
    <row r="20" spans="2:12" x14ac:dyDescent="0.2">
      <c r="B20" s="69"/>
      <c r="C20" s="70"/>
      <c r="E20" s="69"/>
      <c r="F20" s="70"/>
      <c r="H20" s="69"/>
      <c r="I20" s="70"/>
      <c r="K20" s="69"/>
      <c r="L20" s="70"/>
    </row>
    <row r="21" spans="2:12" x14ac:dyDescent="0.2">
      <c r="B21" s="71"/>
      <c r="C21" s="2"/>
      <c r="E21" s="71"/>
      <c r="F21" s="2"/>
      <c r="H21" s="71"/>
      <c r="I21" s="2"/>
      <c r="K21" s="71"/>
      <c r="L21" s="2"/>
    </row>
    <row r="22" spans="2:12" x14ac:dyDescent="0.2">
      <c r="B22" s="71"/>
      <c r="C22" s="2"/>
      <c r="E22" s="71"/>
      <c r="F22" s="2"/>
      <c r="H22" s="71"/>
      <c r="I22" s="2"/>
      <c r="K22" s="71"/>
      <c r="L22" s="2"/>
    </row>
    <row r="23" spans="2:12" x14ac:dyDescent="0.2">
      <c r="B23" s="71"/>
      <c r="C23" s="2"/>
      <c r="E23" s="71"/>
      <c r="F23" s="2"/>
      <c r="H23" s="71"/>
      <c r="I23" s="2"/>
      <c r="K23" s="71"/>
      <c r="L23" s="2"/>
    </row>
    <row r="24" spans="2:12" x14ac:dyDescent="0.2">
      <c r="B24" s="71"/>
      <c r="C24" s="2"/>
      <c r="E24" s="71"/>
      <c r="F24" s="2"/>
      <c r="H24" s="71"/>
      <c r="I24" s="2"/>
      <c r="K24" s="71"/>
      <c r="L24" s="2"/>
    </row>
    <row r="25" spans="2:12" x14ac:dyDescent="0.2">
      <c r="B25" s="71"/>
      <c r="C25" s="2"/>
      <c r="E25" s="71"/>
      <c r="F25" s="2"/>
      <c r="H25" s="71"/>
      <c r="I25" s="2"/>
      <c r="K25" s="71"/>
      <c r="L25" s="2"/>
    </row>
    <row r="26" spans="2:12" x14ac:dyDescent="0.2">
      <c r="B26" s="71"/>
      <c r="C26" s="2"/>
      <c r="E26" s="71"/>
      <c r="F26" s="2"/>
      <c r="H26" s="71"/>
      <c r="I26" s="2"/>
      <c r="K26" s="71"/>
      <c r="L26" s="2"/>
    </row>
    <row r="27" spans="2:12" x14ac:dyDescent="0.2">
      <c r="B27" s="71"/>
      <c r="C27" s="2"/>
      <c r="E27" s="71"/>
      <c r="F27" s="2"/>
      <c r="H27" s="71"/>
      <c r="I27" s="2"/>
      <c r="K27" s="71"/>
      <c r="L27" s="2"/>
    </row>
    <row r="28" spans="2:12" x14ac:dyDescent="0.2">
      <c r="B28" s="71"/>
      <c r="C28" s="2"/>
      <c r="E28" s="71"/>
      <c r="F28" s="2"/>
      <c r="H28" s="71"/>
      <c r="I28" s="2"/>
      <c r="K28" s="71"/>
      <c r="L28" s="2"/>
    </row>
    <row r="29" spans="2:12" x14ac:dyDescent="0.2">
      <c r="B29" s="71"/>
      <c r="C29" s="2"/>
      <c r="E29" s="71"/>
      <c r="F29" s="2"/>
      <c r="H29" s="71"/>
      <c r="I29" s="2"/>
      <c r="K29" s="71"/>
      <c r="L29" s="2"/>
    </row>
    <row r="30" spans="2:12" x14ac:dyDescent="0.2">
      <c r="B30" s="71"/>
      <c r="C30" s="2"/>
      <c r="E30" s="71"/>
      <c r="F30" s="2"/>
      <c r="H30" s="71"/>
      <c r="I30" s="2"/>
      <c r="K30" s="71"/>
      <c r="L30" s="2"/>
    </row>
    <row r="31" spans="2:12" ht="12.75" customHeight="1" x14ac:dyDescent="0.2">
      <c r="B31" s="90" t="str">
        <f>VLOOKUP("konf-s24-4",übersetzen,code,FALSE)</f>
        <v>Calculation
Sicuro24
4 circuits</v>
      </c>
      <c r="C31" s="91"/>
      <c r="E31" s="90" t="str">
        <f>VLOOKUP("konf-s24-8",übersetzen,code,FALSE)</f>
        <v>Calculation
Sicuro24
8 circuits</v>
      </c>
      <c r="F31" s="91"/>
      <c r="H31" s="90" t="str">
        <f>VLOOKUP("konf-s24-4-ex",übersetzen,code,FALSE)</f>
        <v>Calculation
Sicuro24 Extreme
4 circuits</v>
      </c>
      <c r="I31" s="91"/>
      <c r="K31" s="90" t="str">
        <f>VLOOKUP("konf-s24-8-ex",übersetzen,code,FALSE)</f>
        <v>Calculation
Sicuro24 Extreme
8 circuits</v>
      </c>
      <c r="L31" s="91"/>
    </row>
    <row r="32" spans="2:12" x14ac:dyDescent="0.2">
      <c r="B32" s="92"/>
      <c r="C32" s="93"/>
      <c r="E32" s="92"/>
      <c r="F32" s="93"/>
      <c r="H32" s="92"/>
      <c r="I32" s="93"/>
      <c r="K32" s="92"/>
      <c r="L32" s="93"/>
    </row>
    <row r="33" spans="2:12" x14ac:dyDescent="0.2">
      <c r="B33" s="94"/>
      <c r="C33" s="95"/>
      <c r="E33" s="94"/>
      <c r="F33" s="95"/>
      <c r="H33" s="94"/>
      <c r="I33" s="95"/>
      <c r="K33" s="94"/>
      <c r="L33" s="95"/>
    </row>
    <row r="40" spans="2:12" x14ac:dyDescent="0.2">
      <c r="B40" s="69"/>
      <c r="C40" s="70"/>
      <c r="E40" s="69"/>
      <c r="F40" s="70"/>
    </row>
    <row r="41" spans="2:12" x14ac:dyDescent="0.2">
      <c r="B41" s="71"/>
      <c r="C41" s="2"/>
      <c r="E41" s="71"/>
      <c r="F41" s="2"/>
    </row>
    <row r="42" spans="2:12" x14ac:dyDescent="0.2">
      <c r="B42" s="71"/>
      <c r="C42" s="2"/>
      <c r="E42" s="71"/>
      <c r="F42" s="2"/>
    </row>
    <row r="43" spans="2:12" x14ac:dyDescent="0.2">
      <c r="B43" s="71"/>
      <c r="C43" s="2"/>
      <c r="E43" s="71"/>
      <c r="F43" s="2"/>
    </row>
    <row r="44" spans="2:12" x14ac:dyDescent="0.2">
      <c r="B44" s="71"/>
      <c r="C44" s="2"/>
      <c r="E44" s="71"/>
      <c r="F44" s="2"/>
    </row>
    <row r="45" spans="2:12" x14ac:dyDescent="0.2">
      <c r="B45" s="71"/>
      <c r="C45" s="2"/>
      <c r="E45" s="71"/>
      <c r="F45" s="2"/>
    </row>
    <row r="46" spans="2:12" x14ac:dyDescent="0.2">
      <c r="B46" s="71"/>
      <c r="C46" s="2"/>
      <c r="E46" s="71"/>
      <c r="F46" s="2"/>
    </row>
    <row r="47" spans="2:12" x14ac:dyDescent="0.2">
      <c r="B47" s="71"/>
      <c r="C47" s="2"/>
      <c r="E47" s="71"/>
      <c r="F47" s="2"/>
    </row>
    <row r="48" spans="2:12" x14ac:dyDescent="0.2">
      <c r="B48" s="71"/>
      <c r="C48" s="2"/>
      <c r="E48" s="71"/>
      <c r="F48" s="2"/>
    </row>
    <row r="49" spans="2:6" x14ac:dyDescent="0.2">
      <c r="B49" s="71"/>
      <c r="C49" s="2"/>
      <c r="E49" s="71"/>
      <c r="F49" s="2"/>
    </row>
    <row r="50" spans="2:6" x14ac:dyDescent="0.2">
      <c r="B50" s="72"/>
      <c r="C50" s="1"/>
      <c r="E50" s="72"/>
      <c r="F50" s="1"/>
    </row>
    <row r="51" spans="2:6" x14ac:dyDescent="0.2">
      <c r="B51" s="90" t="str">
        <f>VLOOKUP("S230mm²",übersetzen,code,FALSE)</f>
        <v>Cable cross section
Sicuro230</v>
      </c>
      <c r="C51" s="91"/>
      <c r="E51" s="90" t="str">
        <f>VLOOKUP("joule",übersetzen,code,FALSE)</f>
        <v>Inrush current
Sicuro230</v>
      </c>
      <c r="F51" s="91"/>
    </row>
    <row r="52" spans="2:6" x14ac:dyDescent="0.2">
      <c r="B52" s="92"/>
      <c r="C52" s="93"/>
      <c r="E52" s="92"/>
      <c r="F52" s="93"/>
    </row>
    <row r="53" spans="2:6" x14ac:dyDescent="0.2">
      <c r="B53" s="94"/>
      <c r="C53" s="95"/>
      <c r="E53" s="94"/>
      <c r="F53" s="95"/>
    </row>
  </sheetData>
  <sheetProtection algorithmName="SHA-512" hashValue="op8dwHdTI1ToLSvYta/mhXsINPI/Hkyz2dojTioXLb6NdNitXxsNb4Navl/rlJUeQdleaPp/mvSQXx5FIkflSQ==" saltValue="HwvZapG7v+9acc+H8K/UTA==" spinCount="100000" sheet="1" objects="1" scenarios="1" selectLockedCells="1"/>
  <mergeCells count="9">
    <mergeCell ref="B51:C53"/>
    <mergeCell ref="E51:F53"/>
    <mergeCell ref="K31:L33"/>
    <mergeCell ref="E3:I5"/>
    <mergeCell ref="F7:H8"/>
    <mergeCell ref="E11:I13"/>
    <mergeCell ref="B31:C33"/>
    <mergeCell ref="E31:F33"/>
    <mergeCell ref="H31:I33"/>
  </mergeCells>
  <pageMargins left="0" right="0" top="0" bottom="0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Übersetzung!$B$1:$D$1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J55"/>
  <sheetViews>
    <sheetView showGridLines="0" showRowColHeaders="0" tabSelected="1" showOutlineSymbols="0" zoomScale="115" zoomScaleNormal="115" workbookViewId="0">
      <selection activeCell="D17" sqref="D17"/>
    </sheetView>
  </sheetViews>
  <sheetFormatPr defaultColWidth="11.42578125" defaultRowHeight="12.75" x14ac:dyDescent="0.2"/>
  <cols>
    <col min="1" max="1" width="6.7109375" customWidth="1"/>
    <col min="2" max="2" width="3.7109375" customWidth="1"/>
    <col min="3" max="3" width="22" customWidth="1"/>
    <col min="5" max="5" width="3.7109375" customWidth="1"/>
    <col min="8" max="8" width="9.28515625" customWidth="1"/>
    <col min="9" max="9" width="11.42578125" customWidth="1"/>
    <col min="10" max="10" width="3.7109375" customWidth="1"/>
    <col min="11" max="11" width="6.7109375" customWidth="1"/>
  </cols>
  <sheetData>
    <row r="1" spans="2:10" x14ac:dyDescent="0.2">
      <c r="B1" s="53"/>
      <c r="C1" s="52"/>
      <c r="D1" s="52"/>
      <c r="E1" s="52"/>
      <c r="F1" s="52"/>
      <c r="G1" s="52"/>
      <c r="H1" s="52"/>
      <c r="I1" s="89">
        <v>1</v>
      </c>
      <c r="J1" s="51"/>
    </row>
    <row r="2" spans="2:10" x14ac:dyDescent="0.2">
      <c r="B2" s="23"/>
      <c r="C2" s="49">
        <f>VLOOKUP(C3,Batteriekapazitäten!A1:F100,5,0)</f>
        <v>1749.6</v>
      </c>
      <c r="D2" s="49">
        <f>(C2/100*75)</f>
        <v>1312.1999999999998</v>
      </c>
      <c r="E2" s="49"/>
      <c r="F2" s="49"/>
      <c r="G2" s="49"/>
      <c r="H2" s="49"/>
      <c r="I2" s="74">
        <f>VLOOKUP(I1,Batteriekapazitäten!A1:H100,8,0)</f>
        <v>1.25</v>
      </c>
      <c r="J2" s="32"/>
    </row>
    <row r="3" spans="2:10" ht="15" customHeight="1" thickBot="1" x14ac:dyDescent="0.25">
      <c r="B3" s="23"/>
      <c r="C3" s="50">
        <v>1</v>
      </c>
      <c r="D3" s="49">
        <f>VLOOKUP(C3,Batteriekapazitäten!A1:C100,3,0)</f>
        <v>12</v>
      </c>
      <c r="E3" s="49">
        <f>VLOOKUP(C3,Batteriekapazitäten!A1:F100,6,0)</f>
        <v>1</v>
      </c>
      <c r="F3" s="49">
        <f>IF(E3&lt;3,(((D3*0.66*0.9)/12))/2,IF(E3=8,(((D3*0.8*0.9)/12))/2,(((D3*0.75*0.9)/12))/2))</f>
        <v>0.29699999999999999</v>
      </c>
      <c r="G3" s="49">
        <f>ROUNDUP(F3,0)</f>
        <v>1</v>
      </c>
      <c r="H3" s="49">
        <f>G3*2</f>
        <v>2</v>
      </c>
      <c r="I3" s="48">
        <f>((H3*(2.4*108)/0.8)/0.8)/(360*SQRT(3))+(D2/(400*SQRT(3)))</f>
        <v>3.1930356637532249</v>
      </c>
      <c r="J3" s="32"/>
    </row>
    <row r="4" spans="2:10" ht="50.25" customHeight="1" thickBot="1" x14ac:dyDescent="0.25">
      <c r="B4" s="23"/>
      <c r="C4" s="117" t="str">
        <f>VLOOKUP("nshv-lm",übersetzen,code,FALSE)</f>
        <v>The maximum line voltage drop from the distribution board to the last luminaire is 3%!
For the cable from the distribution board to the mainstation a line voltage drop of 0.5% is used.</v>
      </c>
      <c r="D4" s="118"/>
      <c r="E4" s="118"/>
      <c r="F4" s="118"/>
      <c r="G4" s="118"/>
      <c r="H4" s="118"/>
      <c r="I4" s="119"/>
      <c r="J4" s="32"/>
    </row>
    <row r="5" spans="2:10" ht="15" customHeight="1" x14ac:dyDescent="0.2">
      <c r="B5" s="23"/>
      <c r="C5" s="11"/>
      <c r="D5" s="11"/>
      <c r="E5" s="11"/>
      <c r="F5" s="11"/>
      <c r="G5" s="11"/>
      <c r="H5" s="11"/>
      <c r="I5" s="11"/>
      <c r="J5" s="32"/>
    </row>
    <row r="6" spans="2:10" ht="15" customHeight="1" thickBot="1" x14ac:dyDescent="0.25">
      <c r="B6" s="23"/>
      <c r="C6" s="11"/>
      <c r="D6" s="11"/>
      <c r="E6" s="11"/>
      <c r="F6" s="11"/>
      <c r="G6" s="11"/>
      <c r="H6" s="11"/>
      <c r="I6" s="11"/>
      <c r="J6" s="32"/>
    </row>
    <row r="7" spans="2:10" ht="15" customHeight="1" x14ac:dyDescent="0.2">
      <c r="B7" s="23"/>
      <c r="C7" s="132" t="str">
        <f>VLOOKUP("nshv-hs",übersetzen,code,FALSE)</f>
        <v>Cable cross section from distribution board to mainstation</v>
      </c>
      <c r="D7" s="133"/>
      <c r="E7" s="11"/>
      <c r="F7" s="132" t="str">
        <f>VLOOKUP("hs-us",übersetzen,code,FALSE)</f>
        <v>Cable cross section from mainstation to substation</v>
      </c>
      <c r="G7" s="136"/>
      <c r="H7" s="136"/>
      <c r="I7" s="133"/>
      <c r="J7" s="32"/>
    </row>
    <row r="8" spans="2:10" ht="15" customHeight="1" x14ac:dyDescent="0.2">
      <c r="B8" s="23"/>
      <c r="C8" s="134"/>
      <c r="D8" s="135"/>
      <c r="E8" s="11"/>
      <c r="F8" s="134"/>
      <c r="G8" s="137"/>
      <c r="H8" s="137"/>
      <c r="I8" s="135"/>
      <c r="J8" s="32"/>
    </row>
    <row r="9" spans="2:10" ht="15" customHeight="1" x14ac:dyDescent="0.2">
      <c r="B9" s="23"/>
      <c r="C9" s="12"/>
      <c r="D9" s="13"/>
      <c r="E9" s="11"/>
      <c r="F9" s="12"/>
      <c r="G9" s="11"/>
      <c r="H9" s="11"/>
      <c r="I9" s="13"/>
      <c r="J9" s="32"/>
    </row>
    <row r="10" spans="2:10" ht="15" customHeight="1" x14ac:dyDescent="0.2">
      <c r="B10" s="23"/>
      <c r="C10" s="12"/>
      <c r="D10" s="13"/>
      <c r="E10" s="11"/>
      <c r="F10" s="12"/>
      <c r="G10" s="11"/>
      <c r="H10" s="11"/>
      <c r="I10" s="13"/>
      <c r="J10" s="32"/>
    </row>
    <row r="11" spans="2:10" ht="15" customHeight="1" x14ac:dyDescent="0.2">
      <c r="B11" s="23"/>
      <c r="C11" s="12"/>
      <c r="D11" s="13"/>
      <c r="E11" s="11"/>
      <c r="F11" s="12"/>
      <c r="G11" s="11"/>
      <c r="H11" s="11"/>
      <c r="I11" s="13"/>
      <c r="J11" s="32"/>
    </row>
    <row r="12" spans="2:10" ht="15" customHeight="1" x14ac:dyDescent="0.2">
      <c r="B12" s="23"/>
      <c r="C12" s="12"/>
      <c r="D12" s="13"/>
      <c r="E12" s="11"/>
      <c r="F12" s="12"/>
      <c r="G12" s="11"/>
      <c r="H12" s="11"/>
      <c r="I12" s="13"/>
      <c r="J12" s="32"/>
    </row>
    <row r="13" spans="2:10" ht="15" customHeight="1" x14ac:dyDescent="0.2">
      <c r="B13" s="23"/>
      <c r="C13" s="12"/>
      <c r="D13" s="13"/>
      <c r="E13" s="11"/>
      <c r="F13" s="12"/>
      <c r="G13" s="11"/>
      <c r="H13" s="11"/>
      <c r="I13" s="13"/>
      <c r="J13" s="32"/>
    </row>
    <row r="14" spans="2:10" ht="15" customHeight="1" x14ac:dyDescent="0.2">
      <c r="B14" s="23"/>
      <c r="C14" s="12"/>
      <c r="D14" s="13"/>
      <c r="E14" s="11"/>
      <c r="F14" s="12"/>
      <c r="G14" s="11"/>
      <c r="H14" s="11"/>
      <c r="I14" s="13"/>
      <c r="J14" s="32"/>
    </row>
    <row r="15" spans="2:10" ht="24.75" customHeight="1" x14ac:dyDescent="0.2">
      <c r="B15" s="23"/>
      <c r="C15" s="12" t="str">
        <f>VLOOKUP("battdauer",übersetzen,code,FALSE)</f>
        <v>Battery capacity &amp;  operating time</v>
      </c>
      <c r="D15" s="13"/>
      <c r="E15" s="11"/>
      <c r="F15" s="122" t="str">
        <f>VLOOKUP("Pus",übersetzen,code,FALSE)</f>
        <v>Total power of substation</v>
      </c>
      <c r="G15" s="123"/>
      <c r="H15" s="123"/>
      <c r="I15" s="14">
        <v>300</v>
      </c>
      <c r="J15" s="32"/>
    </row>
    <row r="16" spans="2:10" s="45" customFormat="1" ht="3" customHeight="1" x14ac:dyDescent="0.25">
      <c r="B16" s="47"/>
      <c r="C16" s="15"/>
      <c r="D16" s="16"/>
      <c r="E16" s="17"/>
      <c r="F16" s="15"/>
      <c r="G16" s="17"/>
      <c r="H16" s="17"/>
      <c r="I16" s="13"/>
      <c r="J16" s="46"/>
    </row>
    <row r="17" spans="2:10" s="45" customFormat="1" ht="15" customHeight="1" x14ac:dyDescent="0.25">
      <c r="B17" s="47"/>
      <c r="C17" s="12" t="str">
        <f>VLOOKUP("Leitungslänge2",übersetzen,code,FALSE)</f>
        <v>Cable length</v>
      </c>
      <c r="D17" s="18">
        <v>50</v>
      </c>
      <c r="E17" s="17"/>
      <c r="F17" s="122" t="str">
        <f>VLOOKUP("llg",übersetzen,code,FALSE)</f>
        <v>Total Cable length</v>
      </c>
      <c r="G17" s="123"/>
      <c r="H17" s="123"/>
      <c r="I17" s="18">
        <v>100</v>
      </c>
      <c r="J17" s="46"/>
    </row>
    <row r="18" spans="2:10" s="45" customFormat="1" ht="3" customHeight="1" x14ac:dyDescent="0.25">
      <c r="B18" s="47"/>
      <c r="C18" s="12"/>
      <c r="D18" s="16"/>
      <c r="E18" s="17"/>
      <c r="F18" s="15"/>
      <c r="G18" s="17"/>
      <c r="H18" s="17"/>
      <c r="I18" s="13"/>
      <c r="J18" s="46"/>
    </row>
    <row r="19" spans="2:10" ht="12.75" customHeight="1" x14ac:dyDescent="0.2">
      <c r="B19" s="23"/>
      <c r="C19" s="19" t="str">
        <f>VLOOKUP("mm²2",übersetzen,code,FALSE)</f>
        <v>Required cross section</v>
      </c>
      <c r="D19" s="20">
        <f>IF(D17&lt;1,0,(IF((SQRT(3)*I3*D17*0.85)/(56)&lt;=4,4,IF((SQRT(3)*I3*D17*0.85)/(56)&lt;=6,6,IF((SQRT(3)*I3*D17*0.85)/(56)&lt;=10,10,IF((SQRT(3)*I3*D17*0.85)/(56)&lt;=16,16,IF((SQRT(3)*I3*D17*0.85)/(56)&lt;=25,25,IF((SQRT(3)*I3*D17*0.85)/(56)&lt;=35,35,IF((SQRT(3)*I3*D17*0.85)/(56)&lt;=50,50,IF((SQRT(3)*I3*D17*0.85)/(56)&lt;=70,70,IF((SQRT(3)*I3*D17*0.85)/(56)&lt;=95,95,IF((SQRT(3)*I3*D17*0.85)/(56)&lt;=120,120,IF((SQRT(3)*I3*D17*0.85)/(56)&lt;=150,150,IF((SQRT(3)*I3*D17*0.85)/(56)&lt;=185,185,"Berechnen"))))))))))))))</f>
        <v>6</v>
      </c>
      <c r="F19" s="112" t="str">
        <f>VLOOKUP("llbrand",übersetzen,code,FALSE)</f>
        <v>Cable length inside biggest fire area</v>
      </c>
      <c r="G19" s="113"/>
      <c r="H19" s="113"/>
      <c r="I19" s="105">
        <v>0</v>
      </c>
      <c r="J19" s="32"/>
    </row>
    <row r="20" spans="2:10" x14ac:dyDescent="0.2">
      <c r="B20" s="23"/>
      <c r="C20" s="21"/>
      <c r="D20" s="22"/>
      <c r="F20" s="112"/>
      <c r="G20" s="113"/>
      <c r="H20" s="113"/>
      <c r="I20" s="105"/>
      <c r="J20" s="44">
        <v>2.7</v>
      </c>
    </row>
    <row r="21" spans="2:10" ht="3" customHeight="1" x14ac:dyDescent="0.2">
      <c r="B21" s="23"/>
      <c r="C21" s="21"/>
      <c r="D21" s="22"/>
      <c r="F21" s="23"/>
      <c r="I21" s="24"/>
      <c r="J21" s="44"/>
    </row>
    <row r="22" spans="2:10" x14ac:dyDescent="0.2">
      <c r="B22" s="23"/>
      <c r="C22" s="21"/>
      <c r="D22" s="22"/>
      <c r="F22" s="106" t="str">
        <f>VLOOKUP("dv",übersetzen,code,FALSE)</f>
        <v>Line voltage drop ΔV %</v>
      </c>
      <c r="G22" s="107"/>
      <c r="H22" s="107"/>
      <c r="I22" s="25">
        <v>1.2500000000000001E-2</v>
      </c>
      <c r="J22" s="43">
        <f>216/100*I2</f>
        <v>2.7</v>
      </c>
    </row>
    <row r="23" spans="2:10" ht="3" customHeight="1" x14ac:dyDescent="0.2">
      <c r="B23" s="23"/>
      <c r="C23" s="21"/>
      <c r="D23" s="22"/>
      <c r="F23" s="23"/>
      <c r="I23" s="24"/>
      <c r="J23" s="32"/>
    </row>
    <row r="24" spans="2:10" ht="13.5" thickBot="1" x14ac:dyDescent="0.25">
      <c r="B24" s="23"/>
      <c r="C24" s="26"/>
      <c r="D24" s="27"/>
      <c r="F24" s="108" t="str">
        <f>VLOOKUP("mm²2",übersetzen,code,FALSE)</f>
        <v>Required cross section</v>
      </c>
      <c r="G24" s="109"/>
      <c r="H24" s="109"/>
      <c r="I24" s="28">
        <f>IF((((2*(I15/216)*I17)/(58*J20))*(((I19/I17)*100)*0.0157+1))&lt;=2.5,2.5,(IF((((2*(I15/216)*I17)/(58*J20))*(((I19/I17)*100)*0.0157+1))&lt;=4,4,IF(((2*(I15/216)*I17)/(58*J20))*(((I19/I17)*100)*0.0157+1)&lt;=6,6,IF(((2*(I15/216)*I17)/(58*J20))*(((I19/I17)*100)*0.0157+1)&lt;=10,10,IF(((2*(I15/216)*I17)/(58*J20))*(((I19/I17)*100)*0.0157+1)&lt;=16,16,IF(((2*(I15/216)*I17)/(58*J20))*(((I19/I17)*100)*0.0157+1)&lt;=25,25,IF(((2*(I15/216)*I17)/(58*J20))*(((I19/I17)*100)*0.0157+1)&lt;=35,35,IF(((2*(I15/216)*I17)/(58*J20))*(((I19/I17)*100)*0.0157+1)&lt;=50,50,IF(((2*(I15/216)*I17)/(58*J20))*(((I19/I17)*100)*0.0157+1)&lt;=70,70,IF(((2*(I15/216)*I17)/(58*J20))*(((I19/I17)*100)*0.0157+1)&lt;=95,95,IF(((2*(I15/216)*I17)/(58*J20))*(((I19/I17)*100)*0.0157+1)&lt;=120,120,"Berechnen"))))))))))))</f>
        <v>2.5</v>
      </c>
      <c r="J24" s="32"/>
    </row>
    <row r="25" spans="2:10" x14ac:dyDescent="0.2">
      <c r="B25" s="23"/>
      <c r="C25" s="29"/>
      <c r="D25" s="30"/>
      <c r="J25" s="32"/>
    </row>
    <row r="26" spans="2:10" ht="13.5" thickBot="1" x14ac:dyDescent="0.25">
      <c r="B26" s="23"/>
      <c r="C26" s="29"/>
      <c r="D26" s="30"/>
      <c r="J26" s="32"/>
    </row>
    <row r="27" spans="2:10" ht="15" customHeight="1" x14ac:dyDescent="0.2">
      <c r="B27" s="23"/>
      <c r="C27" s="29"/>
      <c r="D27" s="138" t="str">
        <f>VLOOKUP("s-lm",übersetzen,code,FALSE)</f>
        <v>Cable cross section from station to last luminaire</v>
      </c>
      <c r="E27" s="139"/>
      <c r="F27" s="139"/>
      <c r="G27" s="140"/>
      <c r="J27" s="32"/>
    </row>
    <row r="28" spans="2:10" ht="15" customHeight="1" x14ac:dyDescent="0.2">
      <c r="B28" s="23"/>
      <c r="C28" s="29"/>
      <c r="D28" s="141"/>
      <c r="E28" s="142"/>
      <c r="F28" s="142"/>
      <c r="G28" s="143"/>
      <c r="J28" s="32"/>
    </row>
    <row r="29" spans="2:10" ht="15" customHeight="1" x14ac:dyDescent="0.2">
      <c r="B29" s="23"/>
      <c r="C29" s="29"/>
      <c r="D29" s="31"/>
      <c r="G29" s="32"/>
      <c r="J29" s="32"/>
    </row>
    <row r="30" spans="2:10" ht="15" customHeight="1" x14ac:dyDescent="0.2">
      <c r="B30" s="23"/>
      <c r="C30" s="29"/>
      <c r="D30" s="31"/>
      <c r="G30" s="32"/>
      <c r="J30" s="32"/>
    </row>
    <row r="31" spans="2:10" ht="15" customHeight="1" x14ac:dyDescent="0.2">
      <c r="B31" s="23"/>
      <c r="C31" s="29"/>
      <c r="D31" s="31"/>
      <c r="G31" s="32"/>
      <c r="J31" s="32"/>
    </row>
    <row r="32" spans="2:10" ht="15" customHeight="1" x14ac:dyDescent="0.2">
      <c r="B32" s="23"/>
      <c r="C32" s="29"/>
      <c r="D32" s="31"/>
      <c r="G32" s="32"/>
      <c r="J32" s="32"/>
    </row>
    <row r="33" spans="2:10" ht="15" customHeight="1" x14ac:dyDescent="0.2">
      <c r="B33" s="23"/>
      <c r="C33" s="29"/>
      <c r="D33" s="31"/>
      <c r="G33" s="32"/>
      <c r="J33" s="32"/>
    </row>
    <row r="34" spans="2:10" ht="15" customHeight="1" x14ac:dyDescent="0.2">
      <c r="B34" s="23"/>
      <c r="C34" s="29"/>
      <c r="D34" s="31"/>
      <c r="G34" s="32"/>
      <c r="J34" s="32"/>
    </row>
    <row r="35" spans="2:10" ht="15" customHeight="1" x14ac:dyDescent="0.2">
      <c r="B35" s="23"/>
      <c r="C35" s="29"/>
      <c r="D35" s="110" t="s">
        <v>3</v>
      </c>
      <c r="E35" s="111"/>
      <c r="F35" s="111"/>
      <c r="G35" s="32"/>
      <c r="J35" s="32"/>
    </row>
    <row r="36" spans="2:10" ht="3" customHeight="1" x14ac:dyDescent="0.2">
      <c r="B36" s="23"/>
      <c r="C36" s="29"/>
      <c r="D36" s="31"/>
      <c r="G36" s="32"/>
      <c r="J36" s="32"/>
    </row>
    <row r="37" spans="2:10" x14ac:dyDescent="0.2">
      <c r="B37" s="23"/>
      <c r="C37" s="29"/>
      <c r="D37" s="110" t="str">
        <f>VLOOKUP("llg",übersetzen,code,FALSE)</f>
        <v>Total Cable length</v>
      </c>
      <c r="E37" s="111"/>
      <c r="F37" s="111"/>
      <c r="G37" s="33">
        <v>50</v>
      </c>
      <c r="J37" s="32"/>
    </row>
    <row r="38" spans="2:10" ht="3" customHeight="1" x14ac:dyDescent="0.2">
      <c r="B38" s="23"/>
      <c r="C38" s="29"/>
      <c r="D38" s="31"/>
      <c r="G38" s="34"/>
      <c r="J38" s="32"/>
    </row>
    <row r="39" spans="2:10" x14ac:dyDescent="0.2">
      <c r="B39" s="23"/>
      <c r="C39" s="29"/>
      <c r="D39" s="144" t="str">
        <f>VLOOKUP("llbrand",übersetzen,code,FALSE)</f>
        <v>Cable length inside biggest fire area</v>
      </c>
      <c r="E39" s="145"/>
      <c r="F39" s="145"/>
      <c r="G39" s="105">
        <v>0</v>
      </c>
      <c r="J39" s="32"/>
    </row>
    <row r="40" spans="2:10" x14ac:dyDescent="0.2">
      <c r="B40" s="23"/>
      <c r="C40" s="29"/>
      <c r="D40" s="144"/>
      <c r="E40" s="145"/>
      <c r="F40" s="145"/>
      <c r="G40" s="105"/>
      <c r="J40" s="32"/>
    </row>
    <row r="41" spans="2:10" ht="3" customHeight="1" x14ac:dyDescent="0.2">
      <c r="B41" s="23"/>
      <c r="C41" s="29"/>
      <c r="D41" s="31"/>
      <c r="G41" s="34"/>
      <c r="J41" s="32"/>
    </row>
    <row r="42" spans="2:10" x14ac:dyDescent="0.2">
      <c r="B42" s="23"/>
      <c r="C42" s="29"/>
      <c r="D42" s="110" t="str">
        <f>VLOOKUP("Plm",übersetzen,code,FALSE)</f>
        <v>Total power in Watt</v>
      </c>
      <c r="E42" s="111"/>
      <c r="F42" s="111"/>
      <c r="G42" s="35">
        <v>100</v>
      </c>
      <c r="J42" s="32"/>
    </row>
    <row r="43" spans="2:10" ht="3" customHeight="1" x14ac:dyDescent="0.2">
      <c r="B43" s="23"/>
      <c r="C43" s="29"/>
      <c r="D43" s="31"/>
      <c r="G43" s="34"/>
      <c r="J43" s="32"/>
    </row>
    <row r="44" spans="2:10" x14ac:dyDescent="0.2">
      <c r="B44" s="23"/>
      <c r="C44" s="29"/>
      <c r="D44" s="110" t="str">
        <f>VLOOKUP("dv",übersetzen,code,FALSE)</f>
        <v>Line voltage drop ΔV %</v>
      </c>
      <c r="E44" s="111"/>
      <c r="F44" s="111"/>
      <c r="G44" s="36">
        <f>I2</f>
        <v>1.25</v>
      </c>
      <c r="J44" s="32"/>
    </row>
    <row r="45" spans="2:10" ht="3" customHeight="1" x14ac:dyDescent="0.2">
      <c r="B45" s="23"/>
      <c r="C45" s="29"/>
      <c r="D45" s="31"/>
      <c r="G45" s="34"/>
      <c r="J45" s="32"/>
    </row>
    <row r="46" spans="2:10" ht="13.5" thickBot="1" x14ac:dyDescent="0.25">
      <c r="B46" s="23"/>
      <c r="C46" s="29"/>
      <c r="D46" s="130" t="str">
        <f>VLOOKUP("mm²2",übersetzen,code,FALSE)</f>
        <v>Required cross section</v>
      </c>
      <c r="E46" s="131"/>
      <c r="F46" s="131"/>
      <c r="G46" s="37">
        <f>IF((((2*(G42/216)*G37)/(58*J22))*(((G39/G37)*100)*0.0157+1))&lt;=1.5,1.5,(IF((((2*(G42/216)*G37)/(58*J22))*(((G39/G37)*100)*0.0157+1))&lt;=2.5,2.5,IF(((2*(G42/216)*G37)/(58*J22))*(((G39/G37)*100)*0.0157+1)&lt;=4,4,IF(((2*(G42/216)*G37)/(58*J22))*(((G39/G37)*100)*0.0157+1)&lt;=6,6,IF(((2*(G42/216)*G37)/(58*J22))*(((G39/G37)*100)*0.0157+1)&lt;=10,10,"Berechnen"))))))</f>
        <v>1.5</v>
      </c>
      <c r="J46" s="32"/>
    </row>
    <row r="47" spans="2:10" x14ac:dyDescent="0.2">
      <c r="B47" s="23"/>
      <c r="J47" s="32"/>
    </row>
    <row r="48" spans="2:10" x14ac:dyDescent="0.2">
      <c r="B48" s="23"/>
      <c r="E48" s="120"/>
      <c r="F48" s="120"/>
      <c r="G48" s="121"/>
      <c r="H48" s="121"/>
      <c r="J48" s="32"/>
    </row>
    <row r="49" spans="1:10" ht="7.5" customHeight="1" thickBot="1" x14ac:dyDescent="0.25">
      <c r="B49" s="23"/>
      <c r="E49" s="38"/>
      <c r="F49" s="39"/>
      <c r="G49" s="40"/>
      <c r="H49" s="40"/>
      <c r="J49" s="32"/>
    </row>
    <row r="50" spans="1:10" x14ac:dyDescent="0.2">
      <c r="B50" s="23"/>
      <c r="C50" s="124" t="str">
        <f>VLOOKUP("hinweis",übersetzen,code,FALSE)</f>
        <v>To calculate the cable cross section, the maximum load possible of all luminaires must be used!</v>
      </c>
      <c r="D50" s="125"/>
      <c r="E50" s="125"/>
      <c r="F50" s="125"/>
      <c r="G50" s="125"/>
      <c r="H50" s="125"/>
      <c r="I50" s="126"/>
      <c r="J50" s="32"/>
    </row>
    <row r="51" spans="1:10" ht="13.5" thickBot="1" x14ac:dyDescent="0.25">
      <c r="B51" s="23"/>
      <c r="C51" s="127"/>
      <c r="D51" s="128"/>
      <c r="E51" s="128"/>
      <c r="F51" s="128"/>
      <c r="G51" s="128"/>
      <c r="H51" s="128"/>
      <c r="I51" s="129"/>
      <c r="J51" s="32"/>
    </row>
    <row r="52" spans="1:10" x14ac:dyDescent="0.2">
      <c r="B52" s="23"/>
      <c r="J52" s="32"/>
    </row>
    <row r="53" spans="1:10" x14ac:dyDescent="0.2">
      <c r="B53" s="23"/>
      <c r="J53" s="32"/>
    </row>
    <row r="54" spans="1:10" ht="13.5" thickBot="1" x14ac:dyDescent="0.25">
      <c r="B54" s="115"/>
      <c r="C54" s="116"/>
      <c r="D54" s="116"/>
      <c r="E54" s="116"/>
      <c r="F54" s="116"/>
      <c r="G54" s="116"/>
      <c r="H54" s="116"/>
      <c r="I54" s="42"/>
      <c r="J54" s="41"/>
    </row>
    <row r="55" spans="1:10" x14ac:dyDescent="0.2">
      <c r="A55" s="29"/>
      <c r="B55" s="114"/>
      <c r="C55" s="114"/>
      <c r="D55" s="114"/>
      <c r="E55" s="114"/>
      <c r="F55" s="114"/>
      <c r="G55" s="114"/>
      <c r="H55" s="114"/>
    </row>
  </sheetData>
  <sheetProtection algorithmName="SHA-512" hashValue="BSGrr6Ah40s8Wl+rComa7ZGgEZcQcNNbvmyJUO3wgMyx7gXQEO0Sze1fKLiINkQohhFX8HpdGh92kJahFommBQ==" saltValue="V45NT2auXxwJNpFeRUPUdQ==" spinCount="100000" sheet="1" objects="1" scenarios="1" selectLockedCells="1"/>
  <mergeCells count="22">
    <mergeCell ref="B55:H55"/>
    <mergeCell ref="B54:H54"/>
    <mergeCell ref="C4:I4"/>
    <mergeCell ref="E48:F48"/>
    <mergeCell ref="G48:H48"/>
    <mergeCell ref="F15:H15"/>
    <mergeCell ref="F17:H17"/>
    <mergeCell ref="C50:I51"/>
    <mergeCell ref="D44:F44"/>
    <mergeCell ref="D46:F46"/>
    <mergeCell ref="C7:D8"/>
    <mergeCell ref="F7:I8"/>
    <mergeCell ref="D27:G28"/>
    <mergeCell ref="D37:F37"/>
    <mergeCell ref="D39:F40"/>
    <mergeCell ref="G39:G40"/>
    <mergeCell ref="I19:I20"/>
    <mergeCell ref="F22:H22"/>
    <mergeCell ref="F24:H24"/>
    <mergeCell ref="D42:F42"/>
    <mergeCell ref="D35:F35"/>
    <mergeCell ref="F19:H20"/>
  </mergeCells>
  <pageMargins left="0.19685039370078741" right="0" top="0.19685039370078741" bottom="0.19685039370078741" header="0" footer="0"/>
  <pageSetup paperSize="9" orientation="portrait" verticalDpi="18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Drop Down 3">
              <controlPr defaultSize="0" autoLine="0" autoPict="0">
                <anchor moveWithCells="1">
                  <from>
                    <xdr:col>3</xdr:col>
                    <xdr:colOff>19050</xdr:colOff>
                    <xdr:row>14</xdr:row>
                    <xdr:rowOff>76200</xdr:rowOff>
                  </from>
                  <to>
                    <xdr:col>3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Drop Down 4">
              <controlPr defaultSize="0" autoLine="0" autoPict="0">
                <anchor moveWithCells="1">
                  <from>
                    <xdr:col>5</xdr:col>
                    <xdr:colOff>714375</xdr:colOff>
                    <xdr:row>34</xdr:row>
                    <xdr:rowOff>19050</xdr:rowOff>
                  </from>
                  <to>
                    <xdr:col>6</xdr:col>
                    <xdr:colOff>742950</xdr:colOff>
                    <xdr:row>34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J100"/>
  <sheetViews>
    <sheetView workbookViewId="0">
      <selection activeCell="K7" sqref="K7"/>
    </sheetView>
  </sheetViews>
  <sheetFormatPr defaultColWidth="11.42578125" defaultRowHeight="12.75" x14ac:dyDescent="0.2"/>
  <cols>
    <col min="1" max="1" width="4" style="55" bestFit="1" customWidth="1"/>
    <col min="2" max="2" width="14.42578125" style="55" customWidth="1"/>
    <col min="3" max="16384" width="11.42578125" style="55"/>
  </cols>
  <sheetData>
    <row r="1" spans="1:10" x14ac:dyDescent="0.2">
      <c r="A1" s="57">
        <v>1</v>
      </c>
      <c r="B1" s="58" t="s">
        <v>4</v>
      </c>
      <c r="C1" s="57">
        <v>12</v>
      </c>
      <c r="D1" s="56">
        <v>8.1</v>
      </c>
      <c r="E1" s="56">
        <f t="shared" ref="E1:E32" si="0">D1*216</f>
        <v>1749.6</v>
      </c>
      <c r="F1" s="55">
        <v>1</v>
      </c>
      <c r="G1" s="87" t="str">
        <f>VLOOKUP("us",übersetzen,code,FALSE)</f>
        <v>Substation</v>
      </c>
      <c r="H1" s="88">
        <v>1.25</v>
      </c>
      <c r="I1" s="87" t="s">
        <v>5</v>
      </c>
      <c r="J1" s="88" t="s">
        <v>6</v>
      </c>
    </row>
    <row r="2" spans="1:10" x14ac:dyDescent="0.2">
      <c r="A2" s="57">
        <v>2</v>
      </c>
      <c r="B2" s="58" t="s">
        <v>7</v>
      </c>
      <c r="C2" s="57">
        <v>12</v>
      </c>
      <c r="D2" s="56">
        <v>4.5</v>
      </c>
      <c r="E2" s="56">
        <f t="shared" si="0"/>
        <v>972</v>
      </c>
      <c r="F2" s="55">
        <v>2</v>
      </c>
      <c r="G2" s="87" t="str">
        <f>VLOOKUP("hs",übersetzen,code,FALSE)</f>
        <v>Mainstation</v>
      </c>
      <c r="H2" s="88">
        <v>2.5</v>
      </c>
      <c r="I2" s="87" t="s">
        <v>8</v>
      </c>
      <c r="J2" s="88" t="s">
        <v>9</v>
      </c>
    </row>
    <row r="3" spans="1:10" x14ac:dyDescent="0.2">
      <c r="A3" s="57">
        <v>3</v>
      </c>
      <c r="B3" s="58" t="s">
        <v>10</v>
      </c>
      <c r="C3" s="57">
        <v>12</v>
      </c>
      <c r="D3" s="56">
        <v>3.3</v>
      </c>
      <c r="E3" s="56">
        <f t="shared" si="0"/>
        <v>712.8</v>
      </c>
      <c r="F3" s="55">
        <v>3</v>
      </c>
    </row>
    <row r="4" spans="1:10" x14ac:dyDescent="0.2">
      <c r="A4" s="57">
        <v>4</v>
      </c>
      <c r="B4" s="58" t="s">
        <v>11</v>
      </c>
      <c r="C4" s="57">
        <v>12</v>
      </c>
      <c r="D4" s="56">
        <v>1.4</v>
      </c>
      <c r="E4" s="56">
        <f t="shared" si="0"/>
        <v>302.39999999999998</v>
      </c>
      <c r="F4" s="55">
        <v>8</v>
      </c>
    </row>
    <row r="5" spans="1:10" x14ac:dyDescent="0.2">
      <c r="A5" s="57">
        <v>5</v>
      </c>
      <c r="B5" s="55" t="s">
        <v>12</v>
      </c>
      <c r="C5" s="57">
        <v>18</v>
      </c>
      <c r="D5" s="56">
        <v>11.9</v>
      </c>
      <c r="E5" s="56">
        <f t="shared" si="0"/>
        <v>2570.4</v>
      </c>
      <c r="F5" s="55">
        <v>1</v>
      </c>
    </row>
    <row r="6" spans="1:10" x14ac:dyDescent="0.2">
      <c r="A6" s="57">
        <v>6</v>
      </c>
      <c r="B6" s="55" t="s">
        <v>13</v>
      </c>
      <c r="C6" s="57">
        <v>18</v>
      </c>
      <c r="D6" s="56">
        <v>6.79</v>
      </c>
      <c r="E6" s="56">
        <f t="shared" si="0"/>
        <v>1466.64</v>
      </c>
      <c r="F6" s="55">
        <v>2</v>
      </c>
    </row>
    <row r="7" spans="1:10" x14ac:dyDescent="0.2">
      <c r="A7" s="57">
        <v>7</v>
      </c>
      <c r="B7" s="55" t="s">
        <v>14</v>
      </c>
      <c r="C7" s="57">
        <v>18</v>
      </c>
      <c r="D7" s="56">
        <v>4.93</v>
      </c>
      <c r="E7" s="56">
        <f t="shared" si="0"/>
        <v>1064.8799999999999</v>
      </c>
      <c r="F7" s="55">
        <v>3</v>
      </c>
    </row>
    <row r="8" spans="1:10" x14ac:dyDescent="0.2">
      <c r="A8" s="57">
        <v>8</v>
      </c>
      <c r="B8" s="55" t="s">
        <v>15</v>
      </c>
      <c r="C8" s="57">
        <v>18</v>
      </c>
      <c r="D8" s="56">
        <v>2.09</v>
      </c>
      <c r="E8" s="56">
        <f t="shared" si="0"/>
        <v>451.43999999999994</v>
      </c>
      <c r="F8" s="55">
        <v>8</v>
      </c>
    </row>
    <row r="9" spans="1:10" x14ac:dyDescent="0.2">
      <c r="A9" s="57">
        <v>9</v>
      </c>
      <c r="B9" s="55" t="s">
        <v>16</v>
      </c>
      <c r="C9" s="57">
        <v>28</v>
      </c>
      <c r="D9" s="56">
        <v>20.7</v>
      </c>
      <c r="E9" s="56">
        <f t="shared" si="0"/>
        <v>4471.2</v>
      </c>
      <c r="F9" s="55">
        <v>1</v>
      </c>
    </row>
    <row r="10" spans="1:10" x14ac:dyDescent="0.2">
      <c r="A10" s="57">
        <v>10</v>
      </c>
      <c r="B10" s="55" t="s">
        <v>17</v>
      </c>
      <c r="C10" s="57">
        <v>28</v>
      </c>
      <c r="D10" s="56">
        <v>11.73</v>
      </c>
      <c r="E10" s="56">
        <f t="shared" si="0"/>
        <v>2533.6800000000003</v>
      </c>
      <c r="F10" s="55">
        <v>2</v>
      </c>
    </row>
    <row r="11" spans="1:10" x14ac:dyDescent="0.2">
      <c r="A11" s="57">
        <v>11</v>
      </c>
      <c r="B11" s="55" t="s">
        <v>18</v>
      </c>
      <c r="C11" s="57">
        <v>28</v>
      </c>
      <c r="D11" s="56">
        <v>8.43</v>
      </c>
      <c r="E11" s="56">
        <f t="shared" si="0"/>
        <v>1820.8799999999999</v>
      </c>
      <c r="F11" s="55">
        <v>3</v>
      </c>
    </row>
    <row r="12" spans="1:10" x14ac:dyDescent="0.2">
      <c r="A12" s="57">
        <v>12</v>
      </c>
      <c r="B12" s="55" t="s">
        <v>19</v>
      </c>
      <c r="C12" s="57">
        <v>28</v>
      </c>
      <c r="D12" s="56">
        <v>3.71</v>
      </c>
      <c r="E12" s="56">
        <f t="shared" si="0"/>
        <v>801.36</v>
      </c>
      <c r="F12" s="55">
        <v>8</v>
      </c>
    </row>
    <row r="13" spans="1:10" x14ac:dyDescent="0.2">
      <c r="A13" s="57">
        <v>13</v>
      </c>
      <c r="B13" s="55" t="s">
        <v>20</v>
      </c>
      <c r="C13" s="57">
        <v>33</v>
      </c>
      <c r="D13" s="56">
        <v>25</v>
      </c>
      <c r="E13" s="56">
        <f t="shared" si="0"/>
        <v>5400</v>
      </c>
      <c r="F13" s="55">
        <v>1</v>
      </c>
    </row>
    <row r="14" spans="1:10" x14ac:dyDescent="0.2">
      <c r="A14" s="57">
        <v>14</v>
      </c>
      <c r="B14" s="55" t="s">
        <v>21</v>
      </c>
      <c r="C14" s="57">
        <v>33</v>
      </c>
      <c r="D14" s="56">
        <v>13.98</v>
      </c>
      <c r="E14" s="56">
        <f t="shared" si="0"/>
        <v>3019.6800000000003</v>
      </c>
      <c r="F14" s="55">
        <v>2</v>
      </c>
    </row>
    <row r="15" spans="1:10" x14ac:dyDescent="0.2">
      <c r="A15" s="57">
        <v>15</v>
      </c>
      <c r="B15" s="55" t="s">
        <v>22</v>
      </c>
      <c r="C15" s="57">
        <v>33</v>
      </c>
      <c r="D15" s="56">
        <v>10</v>
      </c>
      <c r="E15" s="56">
        <f t="shared" si="0"/>
        <v>2160</v>
      </c>
      <c r="F15" s="55">
        <v>3</v>
      </c>
    </row>
    <row r="16" spans="1:10" x14ac:dyDescent="0.2">
      <c r="A16" s="57">
        <v>16</v>
      </c>
      <c r="B16" s="55" t="s">
        <v>23</v>
      </c>
      <c r="C16" s="57">
        <v>33</v>
      </c>
      <c r="D16" s="56">
        <v>4.33</v>
      </c>
      <c r="E16" s="56">
        <f t="shared" si="0"/>
        <v>935.28</v>
      </c>
      <c r="F16" s="55">
        <v>8</v>
      </c>
    </row>
    <row r="17" spans="1:6" x14ac:dyDescent="0.2">
      <c r="A17" s="57">
        <v>17</v>
      </c>
      <c r="B17" s="55" t="s">
        <v>24</v>
      </c>
      <c r="C17" s="57">
        <v>44</v>
      </c>
      <c r="D17" s="56">
        <v>31.1</v>
      </c>
      <c r="E17" s="56">
        <f t="shared" si="0"/>
        <v>6717.6</v>
      </c>
      <c r="F17" s="55">
        <v>1</v>
      </c>
    </row>
    <row r="18" spans="1:6" x14ac:dyDescent="0.2">
      <c r="A18" s="57">
        <v>18</v>
      </c>
      <c r="B18" s="55" t="s">
        <v>25</v>
      </c>
      <c r="C18" s="57">
        <v>44</v>
      </c>
      <c r="D18" s="56">
        <v>17.809999999999999</v>
      </c>
      <c r="E18" s="56">
        <f t="shared" si="0"/>
        <v>3846.9599999999996</v>
      </c>
      <c r="F18" s="55">
        <v>2</v>
      </c>
    </row>
    <row r="19" spans="1:6" x14ac:dyDescent="0.2">
      <c r="A19" s="57">
        <v>19</v>
      </c>
      <c r="B19" s="55" t="s">
        <v>26</v>
      </c>
      <c r="C19" s="57">
        <v>44</v>
      </c>
      <c r="D19" s="56">
        <v>12.9</v>
      </c>
      <c r="E19" s="56">
        <f t="shared" si="0"/>
        <v>2786.4</v>
      </c>
      <c r="F19" s="55">
        <v>3</v>
      </c>
    </row>
    <row r="20" spans="1:6" x14ac:dyDescent="0.2">
      <c r="A20" s="57">
        <v>20</v>
      </c>
      <c r="B20" s="55" t="s">
        <v>27</v>
      </c>
      <c r="C20" s="57">
        <v>44</v>
      </c>
      <c r="D20" s="56">
        <v>5.7</v>
      </c>
      <c r="E20" s="56">
        <f t="shared" si="0"/>
        <v>1231.2</v>
      </c>
      <c r="F20" s="55">
        <v>8</v>
      </c>
    </row>
    <row r="21" spans="1:6" x14ac:dyDescent="0.2">
      <c r="A21" s="57">
        <v>21</v>
      </c>
      <c r="B21" s="55" t="s">
        <v>28</v>
      </c>
      <c r="C21" s="57">
        <v>55</v>
      </c>
      <c r="D21" s="56">
        <v>39.9</v>
      </c>
      <c r="E21" s="56">
        <f t="shared" si="0"/>
        <v>8618.4</v>
      </c>
      <c r="F21" s="55">
        <v>1</v>
      </c>
    </row>
    <row r="22" spans="1:6" x14ac:dyDescent="0.2">
      <c r="A22" s="57">
        <v>22</v>
      </c>
      <c r="B22" s="55" t="s">
        <v>29</v>
      </c>
      <c r="C22" s="57">
        <v>55</v>
      </c>
      <c r="D22" s="56">
        <v>23.1</v>
      </c>
      <c r="E22" s="56">
        <f t="shared" si="0"/>
        <v>4989.6000000000004</v>
      </c>
      <c r="F22" s="55">
        <v>2</v>
      </c>
    </row>
    <row r="23" spans="1:6" x14ac:dyDescent="0.2">
      <c r="A23" s="57">
        <v>23</v>
      </c>
      <c r="B23" s="55" t="s">
        <v>30</v>
      </c>
      <c r="C23" s="57">
        <v>55</v>
      </c>
      <c r="D23" s="56">
        <v>16.5</v>
      </c>
      <c r="E23" s="56">
        <f t="shared" si="0"/>
        <v>3564</v>
      </c>
      <c r="F23" s="55">
        <v>3</v>
      </c>
    </row>
    <row r="24" spans="1:6" x14ac:dyDescent="0.2">
      <c r="A24" s="57">
        <v>24</v>
      </c>
      <c r="B24" s="55" t="s">
        <v>31</v>
      </c>
      <c r="C24" s="57">
        <v>55</v>
      </c>
      <c r="D24" s="56">
        <v>7.17</v>
      </c>
      <c r="E24" s="56">
        <f t="shared" si="0"/>
        <v>1548.72</v>
      </c>
      <c r="F24" s="55">
        <v>8</v>
      </c>
    </row>
    <row r="25" spans="1:6" x14ac:dyDescent="0.2">
      <c r="A25" s="57">
        <v>25</v>
      </c>
      <c r="B25" s="55" t="s">
        <v>32</v>
      </c>
      <c r="C25" s="57">
        <v>70</v>
      </c>
      <c r="D25" s="56">
        <v>52.6</v>
      </c>
      <c r="E25" s="56">
        <f t="shared" si="0"/>
        <v>11361.6</v>
      </c>
      <c r="F25" s="55">
        <v>1</v>
      </c>
    </row>
    <row r="26" spans="1:6" x14ac:dyDescent="0.2">
      <c r="A26" s="57">
        <v>26</v>
      </c>
      <c r="B26" s="55" t="s">
        <v>33</v>
      </c>
      <c r="C26" s="57">
        <v>70</v>
      </c>
      <c r="D26" s="56">
        <v>30.9</v>
      </c>
      <c r="E26" s="56">
        <f t="shared" si="0"/>
        <v>6674.4</v>
      </c>
      <c r="F26" s="55">
        <v>2</v>
      </c>
    </row>
    <row r="27" spans="1:6" x14ac:dyDescent="0.2">
      <c r="A27" s="57">
        <v>27</v>
      </c>
      <c r="B27" s="55" t="s">
        <v>34</v>
      </c>
      <c r="C27" s="57">
        <v>70</v>
      </c>
      <c r="D27" s="56">
        <v>22.4</v>
      </c>
      <c r="E27" s="56">
        <f t="shared" si="0"/>
        <v>4838.3999999999996</v>
      </c>
      <c r="F27" s="55">
        <v>3</v>
      </c>
    </row>
    <row r="28" spans="1:6" x14ac:dyDescent="0.2">
      <c r="A28" s="57">
        <v>28</v>
      </c>
      <c r="B28" s="55" t="s">
        <v>35</v>
      </c>
      <c r="C28" s="57">
        <v>70</v>
      </c>
      <c r="D28" s="56">
        <v>10.199999999999999</v>
      </c>
      <c r="E28" s="56">
        <f t="shared" si="0"/>
        <v>2203.1999999999998</v>
      </c>
      <c r="F28" s="55">
        <v>8</v>
      </c>
    </row>
    <row r="29" spans="1:6" x14ac:dyDescent="0.2">
      <c r="A29" s="57">
        <v>29</v>
      </c>
      <c r="B29" s="55" t="s">
        <v>36</v>
      </c>
      <c r="C29" s="57">
        <v>80</v>
      </c>
      <c r="D29" s="56">
        <v>61.3</v>
      </c>
      <c r="E29" s="56">
        <f t="shared" si="0"/>
        <v>13240.8</v>
      </c>
      <c r="F29" s="55">
        <v>1</v>
      </c>
    </row>
    <row r="30" spans="1:6" x14ac:dyDescent="0.2">
      <c r="A30" s="57">
        <v>30</v>
      </c>
      <c r="B30" s="55" t="s">
        <v>37</v>
      </c>
      <c r="C30" s="57">
        <v>80</v>
      </c>
      <c r="D30" s="56">
        <v>34.54</v>
      </c>
      <c r="E30" s="56">
        <f t="shared" si="0"/>
        <v>7460.6399999999994</v>
      </c>
      <c r="F30" s="55">
        <v>2</v>
      </c>
    </row>
    <row r="31" spans="1:6" x14ac:dyDescent="0.2">
      <c r="A31" s="57">
        <v>31</v>
      </c>
      <c r="B31" s="55" t="s">
        <v>38</v>
      </c>
      <c r="C31" s="57">
        <v>80</v>
      </c>
      <c r="D31" s="56">
        <v>24.9</v>
      </c>
      <c r="E31" s="56">
        <f t="shared" si="0"/>
        <v>5378.4</v>
      </c>
      <c r="F31" s="55">
        <v>3</v>
      </c>
    </row>
    <row r="32" spans="1:6" x14ac:dyDescent="0.2">
      <c r="A32" s="57">
        <v>32</v>
      </c>
      <c r="B32" s="55" t="s">
        <v>39</v>
      </c>
      <c r="C32" s="57">
        <v>80</v>
      </c>
      <c r="D32" s="56">
        <v>11.1</v>
      </c>
      <c r="E32" s="56">
        <f t="shared" si="0"/>
        <v>2397.6</v>
      </c>
      <c r="F32" s="55">
        <v>8</v>
      </c>
    </row>
    <row r="33" spans="1:6" x14ac:dyDescent="0.2">
      <c r="A33" s="57">
        <v>33</v>
      </c>
      <c r="B33" s="58" t="s">
        <v>40</v>
      </c>
      <c r="C33" s="57">
        <v>100</v>
      </c>
      <c r="D33" s="56">
        <v>72.599999999999994</v>
      </c>
      <c r="E33" s="56">
        <f t="shared" ref="E33:E64" si="1">D33*216</f>
        <v>15681.599999999999</v>
      </c>
      <c r="F33" s="55">
        <v>1</v>
      </c>
    </row>
    <row r="34" spans="1:6" x14ac:dyDescent="0.2">
      <c r="A34" s="57">
        <v>34</v>
      </c>
      <c r="B34" s="58" t="s">
        <v>41</v>
      </c>
      <c r="C34" s="57">
        <v>100</v>
      </c>
      <c r="D34" s="56">
        <v>41.69</v>
      </c>
      <c r="E34" s="56">
        <f t="shared" si="1"/>
        <v>9005.0399999999991</v>
      </c>
      <c r="F34" s="55">
        <v>2</v>
      </c>
    </row>
    <row r="35" spans="1:6" x14ac:dyDescent="0.2">
      <c r="A35" s="57">
        <v>35</v>
      </c>
      <c r="B35" s="58" t="s">
        <v>42</v>
      </c>
      <c r="C35" s="57">
        <v>100</v>
      </c>
      <c r="D35" s="56">
        <v>30.3</v>
      </c>
      <c r="E35" s="56">
        <f t="shared" si="1"/>
        <v>6544.8</v>
      </c>
      <c r="F35" s="55">
        <v>3</v>
      </c>
    </row>
    <row r="36" spans="1:6" x14ac:dyDescent="0.2">
      <c r="A36" s="57">
        <v>36</v>
      </c>
      <c r="B36" s="58" t="s">
        <v>43</v>
      </c>
      <c r="C36" s="57">
        <v>100</v>
      </c>
      <c r="D36" s="56">
        <v>13.4</v>
      </c>
      <c r="E36" s="56">
        <f t="shared" si="1"/>
        <v>2894.4</v>
      </c>
      <c r="F36" s="55">
        <v>8</v>
      </c>
    </row>
    <row r="37" spans="1:6" x14ac:dyDescent="0.2">
      <c r="A37" s="57">
        <v>37</v>
      </c>
      <c r="B37" s="58" t="s">
        <v>44</v>
      </c>
      <c r="C37" s="57">
        <v>110</v>
      </c>
      <c r="D37" s="56">
        <v>78.3</v>
      </c>
      <c r="E37" s="56">
        <f t="shared" si="1"/>
        <v>16912.8</v>
      </c>
      <c r="F37" s="55">
        <v>1</v>
      </c>
    </row>
    <row r="38" spans="1:6" x14ac:dyDescent="0.2">
      <c r="A38" s="57">
        <v>38</v>
      </c>
      <c r="B38" s="58" t="s">
        <v>45</v>
      </c>
      <c r="C38" s="57">
        <v>110</v>
      </c>
      <c r="D38" s="56">
        <v>45.62</v>
      </c>
      <c r="E38" s="56">
        <f t="shared" si="1"/>
        <v>9853.92</v>
      </c>
      <c r="F38" s="55">
        <v>2</v>
      </c>
    </row>
    <row r="39" spans="1:6" x14ac:dyDescent="0.2">
      <c r="A39" s="57">
        <v>39</v>
      </c>
      <c r="B39" s="58" t="s">
        <v>46</v>
      </c>
      <c r="C39" s="57">
        <v>110</v>
      </c>
      <c r="D39" s="56">
        <v>33.299999999999997</v>
      </c>
      <c r="E39" s="56">
        <f t="shared" si="1"/>
        <v>7192.7999999999993</v>
      </c>
      <c r="F39" s="55">
        <v>3</v>
      </c>
    </row>
    <row r="40" spans="1:6" x14ac:dyDescent="0.2">
      <c r="A40" s="57">
        <v>40</v>
      </c>
      <c r="B40" s="58" t="s">
        <v>47</v>
      </c>
      <c r="C40" s="57">
        <v>110</v>
      </c>
      <c r="D40" s="56">
        <v>14.5</v>
      </c>
      <c r="E40" s="56">
        <f t="shared" si="1"/>
        <v>3132</v>
      </c>
      <c r="F40" s="55">
        <v>8</v>
      </c>
    </row>
    <row r="41" spans="1:6" x14ac:dyDescent="0.2">
      <c r="A41" s="57">
        <v>41</v>
      </c>
      <c r="B41" s="58" t="s">
        <v>48</v>
      </c>
      <c r="C41" s="57">
        <v>120</v>
      </c>
      <c r="D41" s="56">
        <v>83.9</v>
      </c>
      <c r="E41" s="56">
        <f t="shared" si="1"/>
        <v>18122.400000000001</v>
      </c>
      <c r="F41" s="55">
        <v>1</v>
      </c>
    </row>
    <row r="42" spans="1:6" x14ac:dyDescent="0.2">
      <c r="A42" s="57">
        <v>42</v>
      </c>
      <c r="B42" s="58" t="s">
        <v>49</v>
      </c>
      <c r="C42" s="57">
        <v>120</v>
      </c>
      <c r="D42" s="56">
        <v>48.71</v>
      </c>
      <c r="E42" s="56">
        <f t="shared" si="1"/>
        <v>10521.36</v>
      </c>
      <c r="F42" s="55">
        <v>2</v>
      </c>
    </row>
    <row r="43" spans="1:6" x14ac:dyDescent="0.2">
      <c r="A43" s="57">
        <v>43</v>
      </c>
      <c r="B43" s="58" t="s">
        <v>50</v>
      </c>
      <c r="C43" s="57">
        <v>120</v>
      </c>
      <c r="D43" s="56">
        <v>36.700000000000003</v>
      </c>
      <c r="E43" s="56">
        <f t="shared" si="1"/>
        <v>7927.2000000000007</v>
      </c>
      <c r="F43" s="55">
        <v>3</v>
      </c>
    </row>
    <row r="44" spans="1:6" x14ac:dyDescent="0.2">
      <c r="A44" s="57">
        <v>44</v>
      </c>
      <c r="B44" s="58" t="s">
        <v>51</v>
      </c>
      <c r="C44" s="57">
        <v>120</v>
      </c>
      <c r="D44" s="56">
        <v>15.8</v>
      </c>
      <c r="E44" s="56">
        <f t="shared" si="1"/>
        <v>3412.8</v>
      </c>
      <c r="F44" s="55">
        <v>8</v>
      </c>
    </row>
    <row r="45" spans="1:6" x14ac:dyDescent="0.2">
      <c r="A45" s="57">
        <v>45</v>
      </c>
      <c r="B45" s="58" t="s">
        <v>52</v>
      </c>
      <c r="C45" s="57">
        <v>135</v>
      </c>
      <c r="D45" s="56">
        <v>107</v>
      </c>
      <c r="E45" s="56">
        <f t="shared" si="1"/>
        <v>23112</v>
      </c>
      <c r="F45" s="55">
        <v>1</v>
      </c>
    </row>
    <row r="46" spans="1:6" x14ac:dyDescent="0.2">
      <c r="A46" s="57">
        <v>46</v>
      </c>
      <c r="B46" s="58" t="s">
        <v>53</v>
      </c>
      <c r="C46" s="57">
        <v>135</v>
      </c>
      <c r="D46" s="56">
        <v>62.79</v>
      </c>
      <c r="E46" s="56">
        <f t="shared" si="1"/>
        <v>13562.64</v>
      </c>
      <c r="F46" s="55">
        <v>2</v>
      </c>
    </row>
    <row r="47" spans="1:6" x14ac:dyDescent="0.2">
      <c r="A47" s="57">
        <v>47</v>
      </c>
      <c r="B47" s="58" t="s">
        <v>54</v>
      </c>
      <c r="C47" s="57">
        <v>135</v>
      </c>
      <c r="D47" s="56">
        <v>44.8</v>
      </c>
      <c r="E47" s="56">
        <f t="shared" si="1"/>
        <v>9676.7999999999993</v>
      </c>
      <c r="F47" s="55">
        <v>3</v>
      </c>
    </row>
    <row r="48" spans="1:6" x14ac:dyDescent="0.2">
      <c r="A48" s="57">
        <v>48</v>
      </c>
      <c r="B48" s="58" t="s">
        <v>55</v>
      </c>
      <c r="C48" s="57">
        <v>135</v>
      </c>
      <c r="D48" s="56">
        <v>19.399999999999999</v>
      </c>
      <c r="E48" s="56">
        <f t="shared" si="1"/>
        <v>4190.3999999999996</v>
      </c>
      <c r="F48" s="55">
        <v>8</v>
      </c>
    </row>
    <row r="49" spans="1:6" x14ac:dyDescent="0.2">
      <c r="A49" s="57">
        <v>49</v>
      </c>
      <c r="B49" s="58" t="s">
        <v>56</v>
      </c>
      <c r="C49" s="57">
        <v>150</v>
      </c>
      <c r="D49" s="56">
        <v>110</v>
      </c>
      <c r="E49" s="56">
        <f t="shared" si="1"/>
        <v>23760</v>
      </c>
      <c r="F49" s="55">
        <v>1</v>
      </c>
    </row>
    <row r="50" spans="1:6" x14ac:dyDescent="0.2">
      <c r="A50" s="57">
        <v>50</v>
      </c>
      <c r="B50" s="58" t="s">
        <v>57</v>
      </c>
      <c r="C50" s="57">
        <v>150</v>
      </c>
      <c r="D50" s="56">
        <v>63.28</v>
      </c>
      <c r="E50" s="56">
        <f t="shared" si="1"/>
        <v>13668.48</v>
      </c>
      <c r="F50" s="55">
        <v>2</v>
      </c>
    </row>
    <row r="51" spans="1:6" x14ac:dyDescent="0.2">
      <c r="A51" s="57">
        <v>51</v>
      </c>
      <c r="B51" s="58" t="s">
        <v>58</v>
      </c>
      <c r="C51" s="57">
        <v>150</v>
      </c>
      <c r="D51" s="56">
        <v>45.5</v>
      </c>
      <c r="E51" s="56">
        <f t="shared" si="1"/>
        <v>9828</v>
      </c>
      <c r="F51" s="55">
        <v>3</v>
      </c>
    </row>
    <row r="52" spans="1:6" x14ac:dyDescent="0.2">
      <c r="A52" s="57">
        <v>52</v>
      </c>
      <c r="B52" s="58" t="s">
        <v>59</v>
      </c>
      <c r="C52" s="57">
        <v>150</v>
      </c>
      <c r="D52" s="56">
        <v>19</v>
      </c>
      <c r="E52" s="56">
        <f t="shared" si="1"/>
        <v>4104</v>
      </c>
      <c r="F52" s="55">
        <v>8</v>
      </c>
    </row>
    <row r="53" spans="1:6" x14ac:dyDescent="0.2">
      <c r="A53" s="57">
        <v>53</v>
      </c>
      <c r="B53" s="58" t="s">
        <v>60</v>
      </c>
      <c r="C53" s="57">
        <v>200</v>
      </c>
      <c r="D53" s="56">
        <v>140</v>
      </c>
      <c r="E53" s="56">
        <f t="shared" si="1"/>
        <v>30240</v>
      </c>
      <c r="F53" s="55">
        <v>1</v>
      </c>
    </row>
    <row r="54" spans="1:6" x14ac:dyDescent="0.2">
      <c r="A54" s="57">
        <v>54</v>
      </c>
      <c r="B54" s="58" t="s">
        <v>61</v>
      </c>
      <c r="C54" s="57">
        <v>200</v>
      </c>
      <c r="D54" s="56">
        <v>83.8</v>
      </c>
      <c r="E54" s="56">
        <f t="shared" si="1"/>
        <v>18100.8</v>
      </c>
      <c r="F54" s="55">
        <v>2</v>
      </c>
    </row>
    <row r="55" spans="1:6" x14ac:dyDescent="0.2">
      <c r="A55" s="57">
        <v>55</v>
      </c>
      <c r="B55" s="58" t="s">
        <v>62</v>
      </c>
      <c r="C55" s="57">
        <v>200</v>
      </c>
      <c r="D55" s="56">
        <v>61.2</v>
      </c>
      <c r="E55" s="56">
        <f t="shared" si="1"/>
        <v>13219.2</v>
      </c>
      <c r="F55" s="55">
        <v>3</v>
      </c>
    </row>
    <row r="56" spans="1:6" x14ac:dyDescent="0.2">
      <c r="A56" s="57">
        <v>56</v>
      </c>
      <c r="B56" s="58" t="s">
        <v>63</v>
      </c>
      <c r="C56" s="57">
        <v>200</v>
      </c>
      <c r="D56" s="56">
        <v>27.3</v>
      </c>
      <c r="E56" s="56">
        <f t="shared" si="1"/>
        <v>5896.8</v>
      </c>
      <c r="F56" s="55">
        <v>8</v>
      </c>
    </row>
    <row r="57" spans="1:6" x14ac:dyDescent="0.2">
      <c r="A57" s="57">
        <v>57</v>
      </c>
      <c r="B57" s="58" t="s">
        <v>64</v>
      </c>
      <c r="C57" s="57">
        <v>230</v>
      </c>
      <c r="D57" s="56">
        <v>167</v>
      </c>
      <c r="E57" s="56">
        <f t="shared" si="1"/>
        <v>36072</v>
      </c>
      <c r="F57" s="55">
        <v>1</v>
      </c>
    </row>
    <row r="58" spans="1:6" x14ac:dyDescent="0.2">
      <c r="A58" s="57">
        <v>58</v>
      </c>
      <c r="B58" s="58" t="s">
        <v>65</v>
      </c>
      <c r="C58" s="57">
        <v>230</v>
      </c>
      <c r="D58" s="56">
        <v>98.28</v>
      </c>
      <c r="E58" s="56">
        <f t="shared" si="1"/>
        <v>21228.48</v>
      </c>
      <c r="F58" s="55">
        <v>2</v>
      </c>
    </row>
    <row r="59" spans="1:6" x14ac:dyDescent="0.2">
      <c r="A59" s="57">
        <v>59</v>
      </c>
      <c r="B59" s="58" t="s">
        <v>66</v>
      </c>
      <c r="C59" s="57">
        <v>230</v>
      </c>
      <c r="D59" s="56">
        <v>70.5</v>
      </c>
      <c r="E59" s="56">
        <f t="shared" si="1"/>
        <v>15228</v>
      </c>
      <c r="F59" s="55">
        <v>3</v>
      </c>
    </row>
    <row r="60" spans="1:6" x14ac:dyDescent="0.2">
      <c r="A60" s="57">
        <v>60</v>
      </c>
      <c r="B60" s="58" t="s">
        <v>67</v>
      </c>
      <c r="C60" s="57">
        <v>230</v>
      </c>
      <c r="D60" s="56">
        <v>30.2</v>
      </c>
      <c r="E60" s="56">
        <f t="shared" si="1"/>
        <v>6523.2</v>
      </c>
      <c r="F60" s="55">
        <v>8</v>
      </c>
    </row>
    <row r="61" spans="1:6" x14ac:dyDescent="0.2">
      <c r="A61" s="57">
        <v>61</v>
      </c>
      <c r="B61" s="58" t="s">
        <v>68</v>
      </c>
      <c r="C61" s="57">
        <v>240</v>
      </c>
      <c r="D61" s="56">
        <f t="shared" ref="D61:D72" si="2">2*D41</f>
        <v>167.8</v>
      </c>
      <c r="E61" s="56">
        <f t="shared" si="1"/>
        <v>36244.800000000003</v>
      </c>
      <c r="F61" s="55">
        <v>1</v>
      </c>
    </row>
    <row r="62" spans="1:6" x14ac:dyDescent="0.2">
      <c r="A62" s="57">
        <v>62</v>
      </c>
      <c r="B62" s="58" t="s">
        <v>69</v>
      </c>
      <c r="C62" s="57">
        <v>240</v>
      </c>
      <c r="D62" s="56">
        <f t="shared" si="2"/>
        <v>97.42</v>
      </c>
      <c r="E62" s="56">
        <f t="shared" si="1"/>
        <v>21042.720000000001</v>
      </c>
      <c r="F62" s="55">
        <v>2</v>
      </c>
    </row>
    <row r="63" spans="1:6" x14ac:dyDescent="0.2">
      <c r="A63" s="57">
        <v>63</v>
      </c>
      <c r="B63" s="58" t="s">
        <v>70</v>
      </c>
      <c r="C63" s="57">
        <v>240</v>
      </c>
      <c r="D63" s="56">
        <f t="shared" si="2"/>
        <v>73.400000000000006</v>
      </c>
      <c r="E63" s="56">
        <f t="shared" si="1"/>
        <v>15854.400000000001</v>
      </c>
      <c r="F63" s="55">
        <v>3</v>
      </c>
    </row>
    <row r="64" spans="1:6" x14ac:dyDescent="0.2">
      <c r="A64" s="57">
        <v>64</v>
      </c>
      <c r="B64" s="58" t="s">
        <v>71</v>
      </c>
      <c r="C64" s="57">
        <v>240</v>
      </c>
      <c r="D64" s="56">
        <f t="shared" si="2"/>
        <v>31.6</v>
      </c>
      <c r="E64" s="56">
        <f t="shared" si="1"/>
        <v>6825.6</v>
      </c>
      <c r="F64" s="55">
        <v>8</v>
      </c>
    </row>
    <row r="65" spans="1:6" x14ac:dyDescent="0.2">
      <c r="A65" s="57">
        <v>65</v>
      </c>
      <c r="B65" s="58" t="s">
        <v>72</v>
      </c>
      <c r="C65" s="57">
        <v>270</v>
      </c>
      <c r="D65" s="56">
        <f t="shared" si="2"/>
        <v>214</v>
      </c>
      <c r="E65" s="56">
        <f t="shared" ref="E65:E96" si="3">D65*216</f>
        <v>46224</v>
      </c>
      <c r="F65" s="55">
        <v>1</v>
      </c>
    </row>
    <row r="66" spans="1:6" x14ac:dyDescent="0.2">
      <c r="A66" s="57">
        <v>66</v>
      </c>
      <c r="B66" s="58" t="s">
        <v>73</v>
      </c>
      <c r="C66" s="57">
        <v>270</v>
      </c>
      <c r="D66" s="56">
        <f t="shared" si="2"/>
        <v>125.58</v>
      </c>
      <c r="E66" s="56">
        <f t="shared" si="3"/>
        <v>27125.279999999999</v>
      </c>
      <c r="F66" s="55">
        <v>2</v>
      </c>
    </row>
    <row r="67" spans="1:6" x14ac:dyDescent="0.2">
      <c r="A67" s="57">
        <v>67</v>
      </c>
      <c r="B67" s="58" t="s">
        <v>74</v>
      </c>
      <c r="C67" s="57">
        <v>270</v>
      </c>
      <c r="D67" s="56">
        <f t="shared" si="2"/>
        <v>89.6</v>
      </c>
      <c r="E67" s="56">
        <f t="shared" si="3"/>
        <v>19353.599999999999</v>
      </c>
      <c r="F67" s="55">
        <v>3</v>
      </c>
    </row>
    <row r="68" spans="1:6" x14ac:dyDescent="0.2">
      <c r="A68" s="57">
        <v>68</v>
      </c>
      <c r="B68" s="58" t="s">
        <v>75</v>
      </c>
      <c r="C68" s="57">
        <v>270</v>
      </c>
      <c r="D68" s="56">
        <f t="shared" si="2"/>
        <v>38.799999999999997</v>
      </c>
      <c r="E68" s="56">
        <f t="shared" si="3"/>
        <v>8380.7999999999993</v>
      </c>
      <c r="F68" s="55">
        <v>8</v>
      </c>
    </row>
    <row r="69" spans="1:6" x14ac:dyDescent="0.2">
      <c r="A69" s="57">
        <v>69</v>
      </c>
      <c r="B69" s="58" t="s">
        <v>76</v>
      </c>
      <c r="C69" s="57">
        <v>300</v>
      </c>
      <c r="D69" s="56">
        <f t="shared" si="2"/>
        <v>220</v>
      </c>
      <c r="E69" s="56">
        <f t="shared" si="3"/>
        <v>47520</v>
      </c>
      <c r="F69" s="55">
        <v>1</v>
      </c>
    </row>
    <row r="70" spans="1:6" x14ac:dyDescent="0.2">
      <c r="A70" s="57">
        <v>70</v>
      </c>
      <c r="B70" s="58" t="s">
        <v>77</v>
      </c>
      <c r="C70" s="57">
        <v>300</v>
      </c>
      <c r="D70" s="56">
        <f t="shared" si="2"/>
        <v>126.56</v>
      </c>
      <c r="E70" s="56">
        <f t="shared" si="3"/>
        <v>27336.959999999999</v>
      </c>
      <c r="F70" s="55">
        <v>2</v>
      </c>
    </row>
    <row r="71" spans="1:6" x14ac:dyDescent="0.2">
      <c r="A71" s="57">
        <v>71</v>
      </c>
      <c r="B71" s="58" t="s">
        <v>78</v>
      </c>
      <c r="C71" s="57">
        <v>300</v>
      </c>
      <c r="D71" s="56">
        <f t="shared" si="2"/>
        <v>91</v>
      </c>
      <c r="E71" s="56">
        <f t="shared" si="3"/>
        <v>19656</v>
      </c>
      <c r="F71" s="55">
        <v>3</v>
      </c>
    </row>
    <row r="72" spans="1:6" x14ac:dyDescent="0.2">
      <c r="A72" s="57">
        <v>72</v>
      </c>
      <c r="B72" s="58" t="s">
        <v>79</v>
      </c>
      <c r="C72" s="57">
        <v>300</v>
      </c>
      <c r="D72" s="56">
        <f t="shared" si="2"/>
        <v>38</v>
      </c>
      <c r="E72" s="56">
        <f t="shared" si="3"/>
        <v>8208</v>
      </c>
      <c r="F72" s="55">
        <v>8</v>
      </c>
    </row>
    <row r="73" spans="1:6" x14ac:dyDescent="0.2">
      <c r="A73" s="57">
        <v>73</v>
      </c>
      <c r="B73" s="58" t="s">
        <v>80</v>
      </c>
      <c r="C73" s="57">
        <v>360</v>
      </c>
      <c r="D73" s="56">
        <f>3*D41</f>
        <v>251.70000000000002</v>
      </c>
      <c r="E73" s="56">
        <f t="shared" si="3"/>
        <v>54367.200000000004</v>
      </c>
      <c r="F73" s="55">
        <v>1</v>
      </c>
    </row>
    <row r="74" spans="1:6" x14ac:dyDescent="0.2">
      <c r="A74" s="57">
        <v>74</v>
      </c>
      <c r="B74" s="58" t="s">
        <v>81</v>
      </c>
      <c r="C74" s="57">
        <v>360</v>
      </c>
      <c r="D74" s="56">
        <f>3*D42</f>
        <v>146.13</v>
      </c>
      <c r="E74" s="56">
        <f t="shared" si="3"/>
        <v>31564.079999999998</v>
      </c>
      <c r="F74" s="55">
        <v>2</v>
      </c>
    </row>
    <row r="75" spans="1:6" x14ac:dyDescent="0.2">
      <c r="A75" s="57">
        <v>75</v>
      </c>
      <c r="B75" s="58" t="s">
        <v>82</v>
      </c>
      <c r="C75" s="57">
        <v>360</v>
      </c>
      <c r="D75" s="56">
        <f>3*D43</f>
        <v>110.10000000000001</v>
      </c>
      <c r="E75" s="56">
        <f t="shared" si="3"/>
        <v>23781.600000000002</v>
      </c>
      <c r="F75" s="55">
        <v>3</v>
      </c>
    </row>
    <row r="76" spans="1:6" x14ac:dyDescent="0.2">
      <c r="A76" s="57">
        <v>76</v>
      </c>
      <c r="B76" s="58" t="s">
        <v>83</v>
      </c>
      <c r="C76" s="57">
        <v>360</v>
      </c>
      <c r="D76" s="56">
        <f>3*D44</f>
        <v>47.400000000000006</v>
      </c>
      <c r="E76" s="56">
        <f t="shared" si="3"/>
        <v>10238.400000000001</v>
      </c>
      <c r="F76" s="55">
        <v>8</v>
      </c>
    </row>
    <row r="77" spans="1:6" x14ac:dyDescent="0.2">
      <c r="A77" s="57">
        <v>77</v>
      </c>
      <c r="B77" s="58" t="s">
        <v>84</v>
      </c>
      <c r="C77" s="57">
        <v>400</v>
      </c>
      <c r="D77" s="56">
        <f>2*D53</f>
        <v>280</v>
      </c>
      <c r="E77" s="56">
        <f t="shared" si="3"/>
        <v>60480</v>
      </c>
      <c r="F77" s="55">
        <v>1</v>
      </c>
    </row>
    <row r="78" spans="1:6" x14ac:dyDescent="0.2">
      <c r="A78" s="57">
        <v>78</v>
      </c>
      <c r="B78" s="58" t="s">
        <v>85</v>
      </c>
      <c r="C78" s="57">
        <v>400</v>
      </c>
      <c r="D78" s="56">
        <f>2*D54</f>
        <v>167.6</v>
      </c>
      <c r="E78" s="56">
        <f t="shared" si="3"/>
        <v>36201.599999999999</v>
      </c>
      <c r="F78" s="55">
        <v>2</v>
      </c>
    </row>
    <row r="79" spans="1:6" x14ac:dyDescent="0.2">
      <c r="A79" s="57">
        <v>79</v>
      </c>
      <c r="B79" s="58" t="s">
        <v>86</v>
      </c>
      <c r="C79" s="57">
        <v>400</v>
      </c>
      <c r="D79" s="56">
        <f>2*D55</f>
        <v>122.4</v>
      </c>
      <c r="E79" s="56">
        <f t="shared" si="3"/>
        <v>26438.400000000001</v>
      </c>
      <c r="F79" s="55">
        <v>3</v>
      </c>
    </row>
    <row r="80" spans="1:6" x14ac:dyDescent="0.2">
      <c r="A80" s="57">
        <v>80</v>
      </c>
      <c r="B80" s="58" t="s">
        <v>87</v>
      </c>
      <c r="C80" s="57">
        <v>400</v>
      </c>
      <c r="D80" s="56">
        <f>2*D56</f>
        <v>54.6</v>
      </c>
      <c r="E80" s="56">
        <f t="shared" si="3"/>
        <v>11793.6</v>
      </c>
      <c r="F80" s="55">
        <v>8</v>
      </c>
    </row>
    <row r="81" spans="1:6" x14ac:dyDescent="0.2">
      <c r="A81" s="57">
        <v>81</v>
      </c>
      <c r="B81" s="58" t="s">
        <v>88</v>
      </c>
      <c r="C81" s="57">
        <v>450</v>
      </c>
      <c r="D81" s="56">
        <f>3*D49</f>
        <v>330</v>
      </c>
      <c r="E81" s="56">
        <f t="shared" si="3"/>
        <v>71280</v>
      </c>
      <c r="F81" s="55">
        <v>1</v>
      </c>
    </row>
    <row r="82" spans="1:6" x14ac:dyDescent="0.2">
      <c r="A82" s="57">
        <v>82</v>
      </c>
      <c r="B82" s="58" t="s">
        <v>89</v>
      </c>
      <c r="C82" s="57">
        <v>450</v>
      </c>
      <c r="D82" s="56">
        <f>3*D50</f>
        <v>189.84</v>
      </c>
      <c r="E82" s="56">
        <f t="shared" si="3"/>
        <v>41005.440000000002</v>
      </c>
      <c r="F82" s="55">
        <v>2</v>
      </c>
    </row>
    <row r="83" spans="1:6" x14ac:dyDescent="0.2">
      <c r="A83" s="57">
        <v>83</v>
      </c>
      <c r="B83" s="58" t="s">
        <v>90</v>
      </c>
      <c r="C83" s="57">
        <v>450</v>
      </c>
      <c r="D83" s="56">
        <f>3*D51</f>
        <v>136.5</v>
      </c>
      <c r="E83" s="56">
        <f t="shared" si="3"/>
        <v>29484</v>
      </c>
      <c r="F83" s="55">
        <v>3</v>
      </c>
    </row>
    <row r="84" spans="1:6" x14ac:dyDescent="0.2">
      <c r="A84" s="57">
        <v>84</v>
      </c>
      <c r="B84" s="58" t="s">
        <v>91</v>
      </c>
      <c r="C84" s="57">
        <v>450</v>
      </c>
      <c r="D84" s="56">
        <f>3*D52</f>
        <v>57</v>
      </c>
      <c r="E84" s="56">
        <f t="shared" si="3"/>
        <v>12312</v>
      </c>
      <c r="F84" s="55">
        <v>8</v>
      </c>
    </row>
    <row r="85" spans="1:6" x14ac:dyDescent="0.2">
      <c r="A85" s="57">
        <v>85</v>
      </c>
      <c r="B85" s="58" t="s">
        <v>92</v>
      </c>
      <c r="C85" s="57">
        <v>480</v>
      </c>
      <c r="D85" s="56">
        <f>4*D41</f>
        <v>335.6</v>
      </c>
      <c r="E85" s="56">
        <f t="shared" si="3"/>
        <v>72489.600000000006</v>
      </c>
      <c r="F85" s="55">
        <v>1</v>
      </c>
    </row>
    <row r="86" spans="1:6" x14ac:dyDescent="0.2">
      <c r="A86" s="57">
        <v>86</v>
      </c>
      <c r="B86" s="58" t="s">
        <v>93</v>
      </c>
      <c r="C86" s="57">
        <v>480</v>
      </c>
      <c r="D86" s="56">
        <f>4*D42</f>
        <v>194.84</v>
      </c>
      <c r="E86" s="56">
        <f t="shared" si="3"/>
        <v>42085.440000000002</v>
      </c>
      <c r="F86" s="55">
        <v>2</v>
      </c>
    </row>
    <row r="87" spans="1:6" x14ac:dyDescent="0.2">
      <c r="A87" s="57">
        <v>87</v>
      </c>
      <c r="B87" s="58" t="s">
        <v>94</v>
      </c>
      <c r="C87" s="57">
        <v>480</v>
      </c>
      <c r="D87" s="56">
        <f>4*D43</f>
        <v>146.80000000000001</v>
      </c>
      <c r="E87" s="56">
        <f t="shared" si="3"/>
        <v>31708.800000000003</v>
      </c>
      <c r="F87" s="55">
        <v>3</v>
      </c>
    </row>
    <row r="88" spans="1:6" x14ac:dyDescent="0.2">
      <c r="A88" s="57">
        <v>88</v>
      </c>
      <c r="B88" s="58" t="s">
        <v>95</v>
      </c>
      <c r="C88" s="57">
        <v>480</v>
      </c>
      <c r="D88" s="56">
        <f>4*D44</f>
        <v>63.2</v>
      </c>
      <c r="E88" s="56">
        <f t="shared" si="3"/>
        <v>13651.2</v>
      </c>
      <c r="F88" s="55">
        <v>8</v>
      </c>
    </row>
    <row r="89" spans="1:6" x14ac:dyDescent="0.2">
      <c r="A89" s="57">
        <v>89</v>
      </c>
      <c r="B89" s="58" t="s">
        <v>96</v>
      </c>
      <c r="C89" s="57">
        <v>600</v>
      </c>
      <c r="D89" s="56">
        <f>4*D49</f>
        <v>440</v>
      </c>
      <c r="E89" s="56">
        <f t="shared" si="3"/>
        <v>95040</v>
      </c>
      <c r="F89" s="55">
        <v>1</v>
      </c>
    </row>
    <row r="90" spans="1:6" x14ac:dyDescent="0.2">
      <c r="A90" s="57">
        <v>90</v>
      </c>
      <c r="B90" s="58" t="s">
        <v>97</v>
      </c>
      <c r="C90" s="57">
        <v>600</v>
      </c>
      <c r="D90" s="56">
        <f>4*D50</f>
        <v>253.12</v>
      </c>
      <c r="E90" s="56">
        <f t="shared" si="3"/>
        <v>54673.919999999998</v>
      </c>
      <c r="F90" s="55">
        <v>2</v>
      </c>
    </row>
    <row r="91" spans="1:6" x14ac:dyDescent="0.2">
      <c r="A91" s="57">
        <v>91</v>
      </c>
      <c r="B91" s="58" t="s">
        <v>98</v>
      </c>
      <c r="C91" s="57">
        <v>600</v>
      </c>
      <c r="D91" s="56">
        <f>4*D51</f>
        <v>182</v>
      </c>
      <c r="E91" s="56">
        <f t="shared" si="3"/>
        <v>39312</v>
      </c>
      <c r="F91" s="55">
        <v>3</v>
      </c>
    </row>
    <row r="92" spans="1:6" x14ac:dyDescent="0.2">
      <c r="A92" s="57">
        <v>92</v>
      </c>
      <c r="B92" s="58" t="s">
        <v>99</v>
      </c>
      <c r="C92" s="57">
        <v>600</v>
      </c>
      <c r="D92" s="56">
        <f>4*D52</f>
        <v>76</v>
      </c>
      <c r="E92" s="56">
        <f t="shared" si="3"/>
        <v>16416</v>
      </c>
      <c r="F92" s="55">
        <v>8</v>
      </c>
    </row>
    <row r="93" spans="1:6" x14ac:dyDescent="0.2">
      <c r="A93" s="57">
        <v>93</v>
      </c>
      <c r="B93" s="58" t="s">
        <v>100</v>
      </c>
      <c r="C93" s="57">
        <v>690</v>
      </c>
      <c r="D93" s="56">
        <f>3*D57</f>
        <v>501</v>
      </c>
      <c r="E93" s="56">
        <f t="shared" si="3"/>
        <v>108216</v>
      </c>
      <c r="F93" s="55">
        <v>1</v>
      </c>
    </row>
    <row r="94" spans="1:6" x14ac:dyDescent="0.2">
      <c r="A94" s="57">
        <v>94</v>
      </c>
      <c r="B94" s="58" t="s">
        <v>101</v>
      </c>
      <c r="C94" s="57">
        <v>690</v>
      </c>
      <c r="D94" s="56">
        <f>3*D58</f>
        <v>294.84000000000003</v>
      </c>
      <c r="E94" s="56">
        <f t="shared" si="3"/>
        <v>63685.44000000001</v>
      </c>
      <c r="F94" s="55">
        <v>2</v>
      </c>
    </row>
    <row r="95" spans="1:6" x14ac:dyDescent="0.2">
      <c r="A95" s="57">
        <v>95</v>
      </c>
      <c r="B95" s="58" t="s">
        <v>102</v>
      </c>
      <c r="C95" s="57">
        <v>690</v>
      </c>
      <c r="D95" s="56">
        <f>3*D59</f>
        <v>211.5</v>
      </c>
      <c r="E95" s="56">
        <f t="shared" si="3"/>
        <v>45684</v>
      </c>
      <c r="F95" s="55">
        <v>3</v>
      </c>
    </row>
    <row r="96" spans="1:6" x14ac:dyDescent="0.2">
      <c r="A96" s="57">
        <v>96</v>
      </c>
      <c r="B96" s="58" t="s">
        <v>103</v>
      </c>
      <c r="C96" s="57">
        <v>690</v>
      </c>
      <c r="D96" s="56">
        <f>3*D60</f>
        <v>90.6</v>
      </c>
      <c r="E96" s="56">
        <f t="shared" si="3"/>
        <v>19569.599999999999</v>
      </c>
      <c r="F96" s="55">
        <v>8</v>
      </c>
    </row>
    <row r="97" spans="1:6" x14ac:dyDescent="0.2">
      <c r="A97" s="57">
        <v>97</v>
      </c>
      <c r="B97" s="58" t="s">
        <v>104</v>
      </c>
      <c r="C97" s="57">
        <v>800</v>
      </c>
      <c r="D97" s="56">
        <f>4*D53</f>
        <v>560</v>
      </c>
      <c r="E97" s="56">
        <f t="shared" ref="E97:E100" si="4">D97*216</f>
        <v>120960</v>
      </c>
      <c r="F97" s="55">
        <v>1</v>
      </c>
    </row>
    <row r="98" spans="1:6" x14ac:dyDescent="0.2">
      <c r="A98" s="57">
        <v>98</v>
      </c>
      <c r="B98" s="58" t="s">
        <v>105</v>
      </c>
      <c r="C98" s="57">
        <v>800</v>
      </c>
      <c r="D98" s="56">
        <f>4*D54</f>
        <v>335.2</v>
      </c>
      <c r="E98" s="56">
        <f t="shared" si="4"/>
        <v>72403.199999999997</v>
      </c>
      <c r="F98" s="55">
        <v>2</v>
      </c>
    </row>
    <row r="99" spans="1:6" x14ac:dyDescent="0.2">
      <c r="A99" s="57">
        <v>99</v>
      </c>
      <c r="B99" s="58" t="s">
        <v>106</v>
      </c>
      <c r="C99" s="57">
        <v>800</v>
      </c>
      <c r="D99" s="56">
        <f>4*D55</f>
        <v>244.8</v>
      </c>
      <c r="E99" s="56">
        <f t="shared" si="4"/>
        <v>52876.800000000003</v>
      </c>
      <c r="F99" s="55">
        <v>3</v>
      </c>
    </row>
    <row r="100" spans="1:6" x14ac:dyDescent="0.2">
      <c r="A100" s="57">
        <v>100</v>
      </c>
      <c r="B100" s="58" t="s">
        <v>107</v>
      </c>
      <c r="C100" s="57">
        <v>800</v>
      </c>
      <c r="D100" s="56">
        <f>4*D56</f>
        <v>109.2</v>
      </c>
      <c r="E100" s="56">
        <f t="shared" si="4"/>
        <v>23587.200000000001</v>
      </c>
      <c r="F100" s="55">
        <v>8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B2:G24"/>
  <sheetViews>
    <sheetView showGridLines="0" showRowColHeaders="0" workbookViewId="0">
      <selection activeCell="D9" sqref="D9"/>
    </sheetView>
  </sheetViews>
  <sheetFormatPr defaultColWidth="11.42578125" defaultRowHeight="12.75" x14ac:dyDescent="0.2"/>
  <cols>
    <col min="1" max="1" width="3.140625" customWidth="1"/>
    <col min="2" max="2" width="12.28515625" customWidth="1"/>
    <col min="4" max="4" width="12.28515625" customWidth="1"/>
  </cols>
  <sheetData>
    <row r="2" spans="2:7" x14ac:dyDescent="0.2">
      <c r="B2" s="154" t="str">
        <f>VLOOKUP("info-peak",übersetzen,code,FALSE)</f>
        <v>Calculation of the maximum number of luminaires per output circuit depending on the inrush current</v>
      </c>
      <c r="C2" s="155"/>
      <c r="D2" s="155"/>
      <c r="E2" s="155"/>
      <c r="F2" s="155"/>
      <c r="G2" s="156"/>
    </row>
    <row r="3" spans="2:7" x14ac:dyDescent="0.2">
      <c r="B3" s="157"/>
      <c r="C3" s="123"/>
      <c r="D3" s="123"/>
      <c r="E3" s="123"/>
      <c r="F3" s="123"/>
      <c r="G3" s="158"/>
    </row>
    <row r="4" spans="2:7" x14ac:dyDescent="0.2">
      <c r="B4" s="159"/>
      <c r="C4" s="137"/>
      <c r="D4" s="137"/>
      <c r="E4" s="137"/>
      <c r="F4" s="137"/>
      <c r="G4" s="160"/>
    </row>
    <row r="6" spans="2:7" x14ac:dyDescent="0.2">
      <c r="B6" s="153" t="str">
        <f>VLOOKUP("peak-LM",übersetzen,code,FALSE)</f>
        <v>Inrush current luminaire:</v>
      </c>
      <c r="C6" s="153"/>
      <c r="D6" s="153"/>
      <c r="E6" s="153"/>
      <c r="F6" s="153"/>
      <c r="G6" s="153"/>
    </row>
    <row r="8" spans="2:7" x14ac:dyDescent="0.2">
      <c r="B8" s="75" t="str">
        <f>VLOOKUP("strom",übersetzen,code,FALSE)</f>
        <v>Current (A):</v>
      </c>
      <c r="C8" s="76"/>
      <c r="D8" s="77" t="str">
        <f>VLOOKUP("zeit",übersetzen,code,FALSE)</f>
        <v>Time (µS):</v>
      </c>
      <c r="E8" s="76"/>
      <c r="F8" s="76"/>
      <c r="G8" s="78" t="s">
        <v>108</v>
      </c>
    </row>
    <row r="9" spans="2:7" ht="15.75" customHeight="1" x14ac:dyDescent="0.2">
      <c r="B9" s="79">
        <v>28</v>
      </c>
      <c r="D9" s="80">
        <v>130</v>
      </c>
      <c r="E9" s="161" t="s">
        <v>109</v>
      </c>
      <c r="F9" s="161"/>
      <c r="G9" s="81">
        <f>ROUND(B9*(D9/1000000)*230*(2^0.5),2)</f>
        <v>1.18</v>
      </c>
    </row>
    <row r="10" spans="2:7" x14ac:dyDescent="0.2">
      <c r="B10" s="71"/>
      <c r="G10" s="2"/>
    </row>
    <row r="11" spans="2:7" x14ac:dyDescent="0.2">
      <c r="B11" s="71"/>
      <c r="G11" s="2"/>
    </row>
    <row r="12" spans="2:7" x14ac:dyDescent="0.2">
      <c r="B12" s="162" t="str">
        <f>VLOOKUP("anzahl-peak",übersetzen,code,FALSE)</f>
        <v>Amount of luminaires per circuit:</v>
      </c>
      <c r="C12" s="153"/>
      <c r="D12" s="153"/>
      <c r="E12" s="153"/>
      <c r="F12" s="153"/>
      <c r="G12" s="163"/>
    </row>
    <row r="13" spans="2:7" x14ac:dyDescent="0.2">
      <c r="B13" s="71"/>
      <c r="G13" s="2"/>
    </row>
    <row r="14" spans="2:7" x14ac:dyDescent="0.2">
      <c r="B14" s="82" t="str">
        <f>VLOOKUP("Anzahl",übersetzen,code,FALSE)</f>
        <v>Total:</v>
      </c>
      <c r="F14" s="73" t="str">
        <f>VLOOKUP("j-kreis",übersetzen,code,FALSE)</f>
        <v>Joule per circuit:</v>
      </c>
      <c r="G14" s="2"/>
    </row>
    <row r="15" spans="2:7" ht="15.75" customHeight="1" x14ac:dyDescent="0.2">
      <c r="B15" s="83">
        <v>0</v>
      </c>
      <c r="D15" s="84" t="s">
        <v>109</v>
      </c>
      <c r="F15" s="85">
        <f>B15*G9</f>
        <v>0</v>
      </c>
      <c r="G15" s="2"/>
    </row>
    <row r="16" spans="2:7" x14ac:dyDescent="0.2">
      <c r="B16" s="72"/>
      <c r="C16" s="86"/>
      <c r="D16" s="86"/>
      <c r="E16" s="86"/>
      <c r="F16" s="86"/>
      <c r="G16" s="1"/>
    </row>
    <row r="18" spans="2:7" x14ac:dyDescent="0.2">
      <c r="B18" s="153" t="str">
        <f>VLOOKUP("möglich",übersetzen,code,FALSE)</f>
        <v>Possible connection on circuit depending on type of card:</v>
      </c>
      <c r="C18" s="153"/>
      <c r="D18" s="153"/>
      <c r="E18" s="153"/>
      <c r="F18" s="153"/>
      <c r="G18" s="153"/>
    </row>
    <row r="20" spans="2:7" x14ac:dyDescent="0.2">
      <c r="B20" s="153" t="str">
        <f>VLOOKUP("ak-typ",übersetzen,code,FALSE)</f>
        <v>Type of card:</v>
      </c>
      <c r="C20" s="153"/>
      <c r="D20" s="153"/>
      <c r="E20" s="153" t="str">
        <f>VLOOKUP("zulässig",übersetzen,code,FALSE)</f>
        <v>Permissible Joule per circuit:</v>
      </c>
      <c r="F20" s="153"/>
      <c r="G20" s="153"/>
    </row>
    <row r="21" spans="2:7" ht="3.75" customHeight="1" x14ac:dyDescent="0.2">
      <c r="B21" s="73"/>
      <c r="C21" s="73"/>
      <c r="D21" s="73"/>
      <c r="E21" s="73"/>
      <c r="F21" s="73"/>
      <c r="G21" s="73"/>
    </row>
    <row r="22" spans="2:7" x14ac:dyDescent="0.2">
      <c r="B22" s="146" t="s">
        <v>110</v>
      </c>
      <c r="C22" s="147"/>
      <c r="D22" s="147"/>
      <c r="E22" s="150" t="str">
        <f>VLOOKUP("zulass-kreis1",übersetzen,code,FALSE)</f>
        <v>34,8 J per circuit</v>
      </c>
      <c r="F22" s="147"/>
      <c r="G22" s="151"/>
    </row>
    <row r="23" spans="2:7" x14ac:dyDescent="0.2">
      <c r="B23" s="146" t="s">
        <v>111</v>
      </c>
      <c r="C23" s="147"/>
      <c r="D23" s="147"/>
      <c r="E23" s="147" t="str">
        <f>VLOOKUP("zulass-kreis2",übersetzen,code,FALSE)</f>
        <v>17,4 J per circuit</v>
      </c>
      <c r="F23" s="147"/>
      <c r="G23" s="151"/>
    </row>
    <row r="24" spans="2:7" x14ac:dyDescent="0.2">
      <c r="B24" s="148" t="s">
        <v>112</v>
      </c>
      <c r="C24" s="149"/>
      <c r="D24" s="149"/>
      <c r="E24" s="149" t="str">
        <f>VLOOKUP("zulass-kreis4",übersetzen,code,FALSE)</f>
        <v>8,7 J per circuit</v>
      </c>
      <c r="F24" s="149"/>
      <c r="G24" s="152"/>
    </row>
  </sheetData>
  <sheetProtection algorithmName="SHA-512" hashValue="XytV/athWvtDR1d/IqrIJFpQqMZCgCAdlMvG3NaZgORDDej0sT+z9ph0rsKD553+J12zi4s3M0PEkWJM3z4amw==" saltValue="6v2FYV+LAqYUS7SUUNLiJw==" spinCount="100000" sheet="1" objects="1" scenarios="1" selectLockedCells="1"/>
  <mergeCells count="13">
    <mergeCell ref="B20:D20"/>
    <mergeCell ref="E20:G20"/>
    <mergeCell ref="B2:G4"/>
    <mergeCell ref="B6:G6"/>
    <mergeCell ref="E9:F9"/>
    <mergeCell ref="B12:G12"/>
    <mergeCell ref="B18:G18"/>
    <mergeCell ref="B22:D22"/>
    <mergeCell ref="B23:D23"/>
    <mergeCell ref="B24:D24"/>
    <mergeCell ref="E22:G22"/>
    <mergeCell ref="E23:G23"/>
    <mergeCell ref="E24:G24"/>
  </mergeCells>
  <conditionalFormatting sqref="B22:G22">
    <cfRule type="expression" dxfId="7" priority="8">
      <formula>$F$15&gt;34.8</formula>
    </cfRule>
    <cfRule type="expression" dxfId="6" priority="9">
      <formula>$F$15&lt;=34.8</formula>
    </cfRule>
    <cfRule type="cellIs" dxfId="5" priority="10" operator="lessThanOrEqual">
      <formula>34.8</formula>
    </cfRule>
  </conditionalFormatting>
  <conditionalFormatting sqref="B22:G24">
    <cfRule type="expression" dxfId="4" priority="1">
      <formula>$F$15=0</formula>
    </cfRule>
  </conditionalFormatting>
  <conditionalFormatting sqref="B23:G23">
    <cfRule type="expression" dxfId="3" priority="5">
      <formula>$F$15&gt;17.4</formula>
    </cfRule>
    <cfRule type="expression" dxfId="2" priority="6">
      <formula>$F$15&lt;=17.4</formula>
    </cfRule>
  </conditionalFormatting>
  <conditionalFormatting sqref="B24:G24">
    <cfRule type="expression" dxfId="1" priority="2">
      <formula>$F$15&gt;8.7</formula>
    </cfRule>
    <cfRule type="expression" dxfId="0" priority="3">
      <formula>$F$15&lt;=8.7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/>
  <dimension ref="A1:E64"/>
  <sheetViews>
    <sheetView workbookViewId="0">
      <selection activeCell="B65" sqref="B65"/>
    </sheetView>
  </sheetViews>
  <sheetFormatPr defaultColWidth="11.42578125" defaultRowHeight="12.75" x14ac:dyDescent="0.2"/>
  <cols>
    <col min="1" max="1" width="21" customWidth="1"/>
    <col min="2" max="2" width="50.42578125" bestFit="1" customWidth="1"/>
    <col min="3" max="3" width="49.5703125" bestFit="1" customWidth="1"/>
    <col min="4" max="4" width="71.5703125" bestFit="1" customWidth="1"/>
  </cols>
  <sheetData>
    <row r="1" spans="1:5" ht="15.75" x14ac:dyDescent="0.25">
      <c r="A1" s="3" t="s">
        <v>113</v>
      </c>
      <c r="B1" s="3" t="s">
        <v>114</v>
      </c>
      <c r="C1" s="3" t="s">
        <v>1</v>
      </c>
      <c r="D1" s="3" t="s">
        <v>115</v>
      </c>
      <c r="E1" s="4">
        <f>HLOOKUP(Sprache,Übersetzung!B1:D2,2,FALSE)</f>
        <v>3</v>
      </c>
    </row>
    <row r="2" spans="1:5" ht="15" x14ac:dyDescent="0.2">
      <c r="A2" s="5" t="s">
        <v>116</v>
      </c>
      <c r="B2" s="6">
        <v>2</v>
      </c>
      <c r="C2" s="6">
        <v>3</v>
      </c>
      <c r="D2" s="6">
        <v>4</v>
      </c>
      <c r="E2" s="7"/>
    </row>
    <row r="3" spans="1:5" x14ac:dyDescent="0.2">
      <c r="A3" s="8" t="s">
        <v>117</v>
      </c>
      <c r="B3" t="s">
        <v>117</v>
      </c>
      <c r="C3" s="8" t="s">
        <v>118</v>
      </c>
      <c r="D3" s="8" t="s">
        <v>119</v>
      </c>
    </row>
    <row r="4" spans="1:5" x14ac:dyDescent="0.2">
      <c r="A4" s="8" t="s">
        <v>120</v>
      </c>
      <c r="B4" t="s">
        <v>121</v>
      </c>
      <c r="C4" s="8" t="s">
        <v>122</v>
      </c>
      <c r="D4" s="8" t="s">
        <v>123</v>
      </c>
    </row>
    <row r="5" spans="1:5" x14ac:dyDescent="0.2">
      <c r="A5" s="8" t="s">
        <v>124</v>
      </c>
      <c r="B5" s="8" t="s">
        <v>125</v>
      </c>
      <c r="C5" s="8" t="s">
        <v>126</v>
      </c>
      <c r="D5" s="8" t="s">
        <v>127</v>
      </c>
    </row>
    <row r="6" spans="1:5" x14ac:dyDescent="0.2">
      <c r="A6" s="8" t="s">
        <v>128</v>
      </c>
      <c r="B6" t="s">
        <v>129</v>
      </c>
      <c r="C6" s="8" t="s">
        <v>130</v>
      </c>
      <c r="D6" t="s">
        <v>131</v>
      </c>
    </row>
    <row r="7" spans="1:5" x14ac:dyDescent="0.2">
      <c r="A7" s="8" t="s">
        <v>132</v>
      </c>
      <c r="B7" s="8" t="s">
        <v>132</v>
      </c>
      <c r="C7" s="8" t="s">
        <v>133</v>
      </c>
      <c r="D7" s="8" t="s">
        <v>134</v>
      </c>
    </row>
    <row r="8" spans="1:5" x14ac:dyDescent="0.2">
      <c r="A8" s="8" t="s">
        <v>135</v>
      </c>
      <c r="B8" s="8" t="s">
        <v>136</v>
      </c>
      <c r="C8" s="8" t="s">
        <v>137</v>
      </c>
      <c r="D8" s="8" t="s">
        <v>137</v>
      </c>
    </row>
    <row r="9" spans="1:5" x14ac:dyDescent="0.2">
      <c r="A9" s="8" t="s">
        <v>138</v>
      </c>
      <c r="B9" t="s">
        <v>139</v>
      </c>
      <c r="C9" t="s">
        <v>140</v>
      </c>
      <c r="D9" t="s">
        <v>141</v>
      </c>
    </row>
    <row r="10" spans="1:5" x14ac:dyDescent="0.2">
      <c r="A10" s="8" t="s">
        <v>142</v>
      </c>
      <c r="B10" s="8" t="s">
        <v>143</v>
      </c>
      <c r="C10" s="8" t="s">
        <v>144</v>
      </c>
      <c r="D10" s="8" t="s">
        <v>145</v>
      </c>
    </row>
    <row r="11" spans="1:5" x14ac:dyDescent="0.2">
      <c r="A11" s="8" t="s">
        <v>146</v>
      </c>
      <c r="B11" s="8" t="s">
        <v>147</v>
      </c>
      <c r="C11" s="8" t="s">
        <v>148</v>
      </c>
      <c r="D11" s="8" t="s">
        <v>149</v>
      </c>
    </row>
    <row r="12" spans="1:5" x14ac:dyDescent="0.2">
      <c r="A12" s="8" t="s">
        <v>150</v>
      </c>
      <c r="B12" s="8" t="s">
        <v>151</v>
      </c>
      <c r="C12" s="8" t="s">
        <v>152</v>
      </c>
      <c r="D12" s="8" t="s">
        <v>153</v>
      </c>
    </row>
    <row r="13" spans="1:5" x14ac:dyDescent="0.2">
      <c r="A13" s="8" t="s">
        <v>154</v>
      </c>
      <c r="B13" s="8" t="s">
        <v>155</v>
      </c>
      <c r="C13" s="8" t="s">
        <v>156</v>
      </c>
      <c r="D13" s="8" t="s">
        <v>157</v>
      </c>
    </row>
    <row r="14" spans="1:5" x14ac:dyDescent="0.2">
      <c r="A14" s="8" t="s">
        <v>158</v>
      </c>
      <c r="B14" s="8" t="s">
        <v>159</v>
      </c>
      <c r="C14" s="8" t="s">
        <v>160</v>
      </c>
      <c r="D14" s="8" t="s">
        <v>161</v>
      </c>
    </row>
    <row r="15" spans="1:5" x14ac:dyDescent="0.2">
      <c r="A15" s="8" t="s">
        <v>162</v>
      </c>
      <c r="B15" s="8" t="s">
        <v>163</v>
      </c>
      <c r="C15" s="8" t="s">
        <v>164</v>
      </c>
      <c r="D15" s="8" t="s">
        <v>165</v>
      </c>
    </row>
    <row r="16" spans="1:5" x14ac:dyDescent="0.2">
      <c r="A16" s="8" t="s">
        <v>166</v>
      </c>
      <c r="B16" s="8" t="s">
        <v>167</v>
      </c>
      <c r="C16" s="8" t="s">
        <v>168</v>
      </c>
      <c r="D16" s="8" t="s">
        <v>169</v>
      </c>
    </row>
    <row r="17" spans="1:4" x14ac:dyDescent="0.2">
      <c r="A17" s="8" t="s">
        <v>170</v>
      </c>
      <c r="B17" t="s">
        <v>171</v>
      </c>
      <c r="C17" t="s">
        <v>2</v>
      </c>
      <c r="D17" t="s">
        <v>172</v>
      </c>
    </row>
    <row r="18" spans="1:4" x14ac:dyDescent="0.2">
      <c r="A18" s="8" t="s">
        <v>173</v>
      </c>
      <c r="B18" t="s">
        <v>174</v>
      </c>
      <c r="C18" s="8" t="s">
        <v>175</v>
      </c>
      <c r="D18" s="8" t="s">
        <v>176</v>
      </c>
    </row>
    <row r="19" spans="1:4" ht="25.5" x14ac:dyDescent="0.2">
      <c r="A19" s="8" t="s">
        <v>177</v>
      </c>
      <c r="B19" s="9" t="s">
        <v>178</v>
      </c>
      <c r="C19" s="9" t="s">
        <v>179</v>
      </c>
      <c r="D19" s="8" t="s">
        <v>180</v>
      </c>
    </row>
    <row r="20" spans="1:4" ht="25.5" x14ac:dyDescent="0.2">
      <c r="A20" s="8" t="s">
        <v>181</v>
      </c>
      <c r="B20" s="9" t="s">
        <v>182</v>
      </c>
      <c r="C20" s="9" t="s">
        <v>183</v>
      </c>
      <c r="D20" s="9" t="s">
        <v>184</v>
      </c>
    </row>
    <row r="21" spans="1:4" ht="25.5" x14ac:dyDescent="0.2">
      <c r="A21" s="8" t="s">
        <v>185</v>
      </c>
      <c r="B21" s="9" t="s">
        <v>186</v>
      </c>
      <c r="C21" s="9" t="s">
        <v>187</v>
      </c>
      <c r="D21" s="9" t="s">
        <v>188</v>
      </c>
    </row>
    <row r="22" spans="1:4" ht="38.25" x14ac:dyDescent="0.2">
      <c r="A22" s="8" t="s">
        <v>189</v>
      </c>
      <c r="B22" s="9" t="s">
        <v>190</v>
      </c>
      <c r="C22" s="9" t="s">
        <v>191</v>
      </c>
      <c r="D22" s="9" t="s">
        <v>192</v>
      </c>
    </row>
    <row r="23" spans="1:4" x14ac:dyDescent="0.2">
      <c r="A23" s="8" t="s">
        <v>193</v>
      </c>
      <c r="B23" t="s">
        <v>194</v>
      </c>
      <c r="C23" t="s">
        <v>195</v>
      </c>
      <c r="D23" s="9" t="s">
        <v>196</v>
      </c>
    </row>
    <row r="24" spans="1:4" x14ac:dyDescent="0.2">
      <c r="A24" s="8" t="s">
        <v>197</v>
      </c>
      <c r="B24" t="s">
        <v>198</v>
      </c>
      <c r="C24" t="s">
        <v>199</v>
      </c>
      <c r="D24" t="s">
        <v>200</v>
      </c>
    </row>
    <row r="25" spans="1:4" ht="63.75" x14ac:dyDescent="0.2">
      <c r="A25" s="8" t="s">
        <v>201</v>
      </c>
      <c r="B25" s="9" t="s">
        <v>202</v>
      </c>
      <c r="C25" s="9" t="s">
        <v>203</v>
      </c>
      <c r="D25" s="9" t="s">
        <v>204</v>
      </c>
    </row>
    <row r="26" spans="1:4" x14ac:dyDescent="0.2">
      <c r="A26" s="8" t="s">
        <v>205</v>
      </c>
      <c r="B26" t="s">
        <v>206</v>
      </c>
      <c r="C26" t="s">
        <v>207</v>
      </c>
      <c r="D26" s="9" t="s">
        <v>208</v>
      </c>
    </row>
    <row r="27" spans="1:4" x14ac:dyDescent="0.2">
      <c r="A27" s="8" t="s">
        <v>209</v>
      </c>
      <c r="B27" t="s">
        <v>210</v>
      </c>
      <c r="C27" t="s">
        <v>211</v>
      </c>
      <c r="D27" s="9" t="s">
        <v>212</v>
      </c>
    </row>
    <row r="28" spans="1:4" x14ac:dyDescent="0.2">
      <c r="A28" s="8" t="s">
        <v>213</v>
      </c>
      <c r="B28" t="s">
        <v>214</v>
      </c>
      <c r="C28" t="s">
        <v>215</v>
      </c>
      <c r="D28" s="9" t="s">
        <v>216</v>
      </c>
    </row>
    <row r="29" spans="1:4" ht="51" x14ac:dyDescent="0.2">
      <c r="A29" s="8" t="s">
        <v>217</v>
      </c>
      <c r="B29" s="54" t="s">
        <v>218</v>
      </c>
      <c r="C29" s="54" t="s">
        <v>219</v>
      </c>
      <c r="D29" s="54" t="s">
        <v>220</v>
      </c>
    </row>
    <row r="30" spans="1:4" x14ac:dyDescent="0.2">
      <c r="A30" s="8" t="s">
        <v>221</v>
      </c>
      <c r="B30" t="s">
        <v>222</v>
      </c>
      <c r="C30" t="s">
        <v>223</v>
      </c>
      <c r="D30" s="54" t="s">
        <v>224</v>
      </c>
    </row>
    <row r="31" spans="1:4" x14ac:dyDescent="0.2">
      <c r="A31" s="8" t="s">
        <v>225</v>
      </c>
      <c r="B31" t="s">
        <v>226</v>
      </c>
      <c r="C31" t="s">
        <v>227</v>
      </c>
      <c r="D31" s="54" t="s">
        <v>228</v>
      </c>
    </row>
    <row r="32" spans="1:4" x14ac:dyDescent="0.2">
      <c r="A32" s="8" t="s">
        <v>229</v>
      </c>
      <c r="B32" t="s">
        <v>230</v>
      </c>
      <c r="C32" t="s">
        <v>231</v>
      </c>
      <c r="D32" s="54" t="s">
        <v>232</v>
      </c>
    </row>
    <row r="33" spans="1:4" x14ac:dyDescent="0.2">
      <c r="A33" s="8" t="s">
        <v>233</v>
      </c>
      <c r="B33" t="s">
        <v>177</v>
      </c>
      <c r="C33" t="s">
        <v>234</v>
      </c>
      <c r="D33" t="s">
        <v>235</v>
      </c>
    </row>
    <row r="34" spans="1:4" x14ac:dyDescent="0.2">
      <c r="A34" s="8" t="s">
        <v>236</v>
      </c>
      <c r="B34" t="s">
        <v>237</v>
      </c>
      <c r="C34" t="s">
        <v>238</v>
      </c>
      <c r="D34" t="s">
        <v>239</v>
      </c>
    </row>
    <row r="35" spans="1:4" x14ac:dyDescent="0.2">
      <c r="A35" s="8" t="s">
        <v>240</v>
      </c>
      <c r="B35" t="s">
        <v>241</v>
      </c>
      <c r="C35" t="s">
        <v>242</v>
      </c>
      <c r="D35" t="s">
        <v>243</v>
      </c>
    </row>
    <row r="36" spans="1:4" x14ac:dyDescent="0.2">
      <c r="A36" s="8" t="s">
        <v>244</v>
      </c>
      <c r="B36" t="s">
        <v>245</v>
      </c>
      <c r="C36" t="s">
        <v>246</v>
      </c>
      <c r="D36" t="s">
        <v>247</v>
      </c>
    </row>
    <row r="37" spans="1:4" ht="25.5" x14ac:dyDescent="0.2">
      <c r="A37" s="8" t="s">
        <v>248</v>
      </c>
      <c r="B37" t="s">
        <v>249</v>
      </c>
      <c r="C37" t="s">
        <v>250</v>
      </c>
      <c r="D37" s="54" t="s">
        <v>251</v>
      </c>
    </row>
    <row r="38" spans="1:4" x14ac:dyDescent="0.2">
      <c r="A38" s="8" t="s">
        <v>252</v>
      </c>
      <c r="B38" t="s">
        <v>253</v>
      </c>
      <c r="C38" t="s">
        <v>254</v>
      </c>
      <c r="D38" t="s">
        <v>255</v>
      </c>
    </row>
    <row r="39" spans="1:4" x14ac:dyDescent="0.2">
      <c r="A39" s="8" t="s">
        <v>256</v>
      </c>
      <c r="B39" t="s">
        <v>257</v>
      </c>
      <c r="C39" s="8" t="s">
        <v>258</v>
      </c>
      <c r="D39" s="8" t="s">
        <v>259</v>
      </c>
    </row>
    <row r="40" spans="1:4" x14ac:dyDescent="0.2">
      <c r="A40" s="8" t="s">
        <v>260</v>
      </c>
      <c r="B40" t="s">
        <v>261</v>
      </c>
      <c r="C40" s="8" t="s">
        <v>262</v>
      </c>
      <c r="D40" s="8" t="s">
        <v>263</v>
      </c>
    </row>
    <row r="41" spans="1:4" x14ac:dyDescent="0.2">
      <c r="A41" s="8" t="s">
        <v>264</v>
      </c>
      <c r="B41" s="59" t="s">
        <v>265</v>
      </c>
      <c r="C41" t="s">
        <v>8</v>
      </c>
      <c r="D41" s="55" t="s">
        <v>9</v>
      </c>
    </row>
    <row r="42" spans="1:4" x14ac:dyDescent="0.2">
      <c r="A42" s="8" t="s">
        <v>266</v>
      </c>
      <c r="B42" s="59" t="s">
        <v>267</v>
      </c>
      <c r="C42" s="59" t="s">
        <v>5</v>
      </c>
      <c r="D42" s="55" t="s">
        <v>6</v>
      </c>
    </row>
    <row r="43" spans="1:4" x14ac:dyDescent="0.2">
      <c r="A43" s="8" t="s">
        <v>268</v>
      </c>
      <c r="B43" t="s">
        <v>269</v>
      </c>
      <c r="C43" t="s">
        <v>270</v>
      </c>
      <c r="D43" t="s">
        <v>271</v>
      </c>
    </row>
    <row r="44" spans="1:4" ht="38.25" x14ac:dyDescent="0.2">
      <c r="A44" s="8" t="s">
        <v>272</v>
      </c>
      <c r="B44" s="9" t="s">
        <v>273</v>
      </c>
      <c r="C44" s="9" t="s">
        <v>274</v>
      </c>
      <c r="D44" s="9" t="s">
        <v>275</v>
      </c>
    </row>
    <row r="45" spans="1:4" ht="38.25" x14ac:dyDescent="0.2">
      <c r="A45" s="8" t="s">
        <v>276</v>
      </c>
      <c r="B45" s="9" t="s">
        <v>277</v>
      </c>
      <c r="C45" s="9" t="s">
        <v>278</v>
      </c>
      <c r="D45" s="9" t="s">
        <v>279</v>
      </c>
    </row>
    <row r="46" spans="1:4" ht="38.25" x14ac:dyDescent="0.2">
      <c r="A46" s="8" t="s">
        <v>280</v>
      </c>
      <c r="B46" s="9" t="s">
        <v>281</v>
      </c>
      <c r="C46" s="9" t="s">
        <v>282</v>
      </c>
      <c r="D46" s="9" t="s">
        <v>283</v>
      </c>
    </row>
    <row r="47" spans="1:4" ht="38.25" x14ac:dyDescent="0.2">
      <c r="A47" s="8" t="s">
        <v>284</v>
      </c>
      <c r="B47" s="9" t="s">
        <v>285</v>
      </c>
      <c r="C47" s="9" t="s">
        <v>286</v>
      </c>
      <c r="D47" s="9" t="s">
        <v>287</v>
      </c>
    </row>
    <row r="48" spans="1:4" x14ac:dyDescent="0.2">
      <c r="A48" s="8" t="s">
        <v>288</v>
      </c>
      <c r="B48" s="9" t="s">
        <v>289</v>
      </c>
      <c r="C48" s="9" t="s">
        <v>290</v>
      </c>
      <c r="D48" s="9" t="s">
        <v>291</v>
      </c>
    </row>
    <row r="49" spans="1:4" ht="25.5" x14ac:dyDescent="0.2">
      <c r="A49" s="8" t="s">
        <v>292</v>
      </c>
      <c r="B49" s="9" t="s">
        <v>293</v>
      </c>
      <c r="C49" s="9" t="s">
        <v>294</v>
      </c>
      <c r="D49" s="9" t="s">
        <v>295</v>
      </c>
    </row>
    <row r="50" spans="1:4" ht="25.5" x14ac:dyDescent="0.2">
      <c r="A50" s="8" t="s">
        <v>296</v>
      </c>
      <c r="B50" s="54" t="s">
        <v>297</v>
      </c>
      <c r="C50" s="54" t="s">
        <v>298</v>
      </c>
      <c r="D50" s="54" t="s">
        <v>298</v>
      </c>
    </row>
    <row r="51" spans="1:4" ht="25.5" x14ac:dyDescent="0.2">
      <c r="A51" s="8" t="s">
        <v>299</v>
      </c>
      <c r="B51" s="9" t="s">
        <v>300</v>
      </c>
      <c r="C51" s="54" t="s">
        <v>301</v>
      </c>
      <c r="D51" s="54" t="s">
        <v>302</v>
      </c>
    </row>
    <row r="52" spans="1:4" x14ac:dyDescent="0.2">
      <c r="A52" s="8" t="s">
        <v>303</v>
      </c>
      <c r="B52" s="9" t="s">
        <v>304</v>
      </c>
      <c r="C52" s="9" t="s">
        <v>305</v>
      </c>
      <c r="D52" s="9" t="s">
        <v>306</v>
      </c>
    </row>
    <row r="53" spans="1:4" x14ac:dyDescent="0.2">
      <c r="A53" s="8" t="s">
        <v>307</v>
      </c>
      <c r="B53" s="9" t="s">
        <v>308</v>
      </c>
      <c r="C53" s="9" t="s">
        <v>309</v>
      </c>
      <c r="D53" s="9" t="s">
        <v>310</v>
      </c>
    </row>
    <row r="54" spans="1:4" x14ac:dyDescent="0.2">
      <c r="A54" s="8" t="s">
        <v>311</v>
      </c>
      <c r="B54" s="9" t="s">
        <v>312</v>
      </c>
      <c r="C54" s="9" t="s">
        <v>313</v>
      </c>
      <c r="D54" s="9" t="s">
        <v>314</v>
      </c>
    </row>
    <row r="55" spans="1:4" x14ac:dyDescent="0.2">
      <c r="A55" s="8" t="s">
        <v>315</v>
      </c>
      <c r="B55" s="9" t="s">
        <v>316</v>
      </c>
      <c r="C55" s="9" t="s">
        <v>317</v>
      </c>
      <c r="D55" s="9" t="s">
        <v>318</v>
      </c>
    </row>
    <row r="56" spans="1:4" x14ac:dyDescent="0.2">
      <c r="A56" s="8" t="s">
        <v>319</v>
      </c>
      <c r="B56" s="9" t="s">
        <v>320</v>
      </c>
      <c r="C56" s="9" t="s">
        <v>321</v>
      </c>
      <c r="D56" s="9" t="s">
        <v>322</v>
      </c>
    </row>
    <row r="57" spans="1:4" x14ac:dyDescent="0.2">
      <c r="A57" s="8" t="s">
        <v>323</v>
      </c>
      <c r="B57" s="9" t="s">
        <v>324</v>
      </c>
      <c r="C57" s="9" t="s">
        <v>325</v>
      </c>
      <c r="D57" s="9" t="s">
        <v>326</v>
      </c>
    </row>
    <row r="58" spans="1:4" x14ac:dyDescent="0.2">
      <c r="A58" s="8" t="s">
        <v>327</v>
      </c>
      <c r="B58" s="9" t="s">
        <v>328</v>
      </c>
      <c r="C58" s="9" t="s">
        <v>329</v>
      </c>
      <c r="D58" s="9" t="s">
        <v>330</v>
      </c>
    </row>
    <row r="59" spans="1:4" x14ac:dyDescent="0.2">
      <c r="A59" s="8" t="s">
        <v>331</v>
      </c>
      <c r="B59" s="9" t="s">
        <v>332</v>
      </c>
      <c r="C59" s="9" t="s">
        <v>333</v>
      </c>
      <c r="D59" s="9" t="s">
        <v>334</v>
      </c>
    </row>
    <row r="60" spans="1:4" x14ac:dyDescent="0.2">
      <c r="A60" s="8" t="s">
        <v>335</v>
      </c>
      <c r="B60" s="8" t="s">
        <v>336</v>
      </c>
      <c r="C60" s="8" t="s">
        <v>337</v>
      </c>
      <c r="D60" s="8" t="s">
        <v>338</v>
      </c>
    </row>
    <row r="61" spans="1:4" x14ac:dyDescent="0.2">
      <c r="A61" s="8" t="s">
        <v>339</v>
      </c>
      <c r="B61" s="8" t="s">
        <v>340</v>
      </c>
      <c r="C61" s="8" t="s">
        <v>341</v>
      </c>
      <c r="D61" s="8" t="s">
        <v>342</v>
      </c>
    </row>
    <row r="62" spans="1:4" x14ac:dyDescent="0.2">
      <c r="A62" s="8" t="s">
        <v>343</v>
      </c>
      <c r="B62" s="8" t="s">
        <v>344</v>
      </c>
      <c r="C62" s="8" t="s">
        <v>345</v>
      </c>
      <c r="D62" s="8" t="s">
        <v>346</v>
      </c>
    </row>
    <row r="63" spans="1:4" x14ac:dyDescent="0.2">
      <c r="A63" s="8" t="s">
        <v>347</v>
      </c>
      <c r="B63" s="8" t="s">
        <v>348</v>
      </c>
      <c r="C63" s="8" t="s">
        <v>349</v>
      </c>
      <c r="D63" s="8" t="s">
        <v>350</v>
      </c>
    </row>
    <row r="64" spans="1:4" x14ac:dyDescent="0.2">
      <c r="A64" s="8" t="s">
        <v>351</v>
      </c>
      <c r="B64" s="8" t="s">
        <v>352</v>
      </c>
      <c r="C64" s="8" t="s">
        <v>353</v>
      </c>
      <c r="D64" s="8" t="s">
        <v>354</v>
      </c>
    </row>
  </sheetData>
  <sheetProtection algorithmName="SHA-512" hashValue="H3Wqc37HI9G3LWy40/2lc8SYiFC5KpkvnZcN1UxSw4NrOc+kkjA1phxzZSFCZSvTn34pqJVlF/wxuU6HbuYpOg==" saltValue="3M/rMVBqRje/kLmM7CT+rA==" spinCount="100000" sheet="1" objects="1" scenarios="1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9499B4A27BA84DBCFF00CC48AD188B" ma:contentTypeVersion="16" ma:contentTypeDescription="Skapa ett nytt dokument." ma:contentTypeScope="" ma:versionID="f56724b11cf328bbf0bc56fb483808b7">
  <xsd:schema xmlns:xsd="http://www.w3.org/2001/XMLSchema" xmlns:xs="http://www.w3.org/2001/XMLSchema" xmlns:p="http://schemas.microsoft.com/office/2006/metadata/properties" xmlns:ns2="e2d717e3-8770-43c8-8124-691a8824d219" xmlns:ns3="127c4bfe-12fb-4ae4-a470-f4825e193fe9" targetNamespace="http://schemas.microsoft.com/office/2006/metadata/properties" ma:root="true" ma:fieldsID="a359046ee460c33c45e809d25497139e" ns2:_="" ns3:_="">
    <xsd:import namespace="e2d717e3-8770-43c8-8124-691a8824d219"/>
    <xsd:import namespace="127c4bfe-12fb-4ae4-a470-f4825e193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BI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717e3-8770-43c8-8124-691a8824d2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c90f452a-cf70-4524-a89c-b9e0904b96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BILD" ma:index="23" nillable="true" ma:displayName="BILD" ma:format="Thumbnail" ma:internalName="BIL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c4bfe-12fb-4ae4-a470-f4825e193fe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31d6da-679d-4ca9-872a-a08ab8826a1b}" ma:internalName="TaxCatchAll" ma:showField="CatchAllData" ma:web="127c4bfe-12fb-4ae4-a470-f4825e193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d717e3-8770-43c8-8124-691a8824d219">
      <Terms xmlns="http://schemas.microsoft.com/office/infopath/2007/PartnerControls"/>
    </lcf76f155ced4ddcb4097134ff3c332f>
    <TaxCatchAll xmlns="127c4bfe-12fb-4ae4-a470-f4825e193fe9" xsi:nil="true"/>
    <BILD xmlns="e2d717e3-8770-43c8-8124-691a8824d219" xsi:nil="true"/>
  </documentManagement>
</p:properties>
</file>

<file path=customXml/itemProps1.xml><?xml version="1.0" encoding="utf-8"?>
<ds:datastoreItem xmlns:ds="http://schemas.openxmlformats.org/officeDocument/2006/customXml" ds:itemID="{BEE10EBE-F66E-4A27-8ADD-82B1CDFF1A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A4B091-2E10-40ED-A1DF-D35E52C4D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717e3-8770-43c8-8124-691a8824d219"/>
    <ds:schemaRef ds:uri="127c4bfe-12fb-4ae4-a470-f4825e193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404172-AF83-4325-B774-DF0D18DBED2B}">
  <ds:schemaRefs>
    <ds:schemaRef ds:uri="http://schemas.microsoft.com/office/2006/metadata/properties"/>
    <ds:schemaRef ds:uri="http://schemas.microsoft.com/office/infopath/2007/PartnerControls"/>
    <ds:schemaRef ds:uri="e2d717e3-8770-43c8-8124-691a8824d219"/>
    <ds:schemaRef ds:uri="127c4bfe-12fb-4ae4-a470-f4825e193f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Start</vt:lpstr>
      <vt:lpstr>S230 mm²</vt:lpstr>
      <vt:lpstr>S230 Ipeak</vt:lpstr>
      <vt:lpstr>code</vt:lpstr>
      <vt:lpstr>Sprache</vt:lpstr>
      <vt:lpstr>'S230 mm²'!Utskriftsområde</vt:lpstr>
      <vt:lpstr>übersetzen</vt:lpstr>
    </vt:vector>
  </TitlesOfParts>
  <Manager/>
  <Company>Beghelli PRÄZISA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Sicuro Tools</dc:title>
  <dc:subject/>
  <dc:creator>Bjoern.Lehrer@beghelli.de</dc:creator>
  <cp:keywords>Rev. B</cp:keywords>
  <dc:description/>
  <cp:lastModifiedBy>Fredrik Toftgård</cp:lastModifiedBy>
  <cp:revision/>
  <dcterms:created xsi:type="dcterms:W3CDTF">2008-11-18T09:22:43Z</dcterms:created>
  <dcterms:modified xsi:type="dcterms:W3CDTF">2024-07-03T14:03:09Z</dcterms:modified>
  <cp:category/>
  <cp:contentStatus>REV. B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0x010100B39499B4A27BA84DBCFF00CC48AD188B</vt:lpwstr>
  </property>
  <property fmtid="{D5CDD505-2E9C-101B-9397-08002B2CF9AE}" pid="3" name="Order">
    <vt:r8>3941200</vt:r8>
  </property>
  <property fmtid="{D5CDD505-2E9C-101B-9397-08002B2CF9AE}" pid="4" name="MediaServiceImageTags">
    <vt:lpwstr/>
  </property>
</Properties>
</file>